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ilskudsprojekter\Seges\Tilskudsprojekter\2020\160_MiljoInnovation\7855_PAF_Målrettet_vandmiljøindsats\02_Leverancer\Klar til net\"/>
    </mc:Choice>
  </mc:AlternateContent>
  <xr:revisionPtr revIDLastSave="0" documentId="8_{6AC84E7A-3D44-45FD-B3CA-958BCC92074F}" xr6:coauthVersionLast="45" xr6:coauthVersionMax="45" xr10:uidLastSave="{00000000-0000-0000-0000-000000000000}"/>
  <bookViews>
    <workbookView xWindow="28680" yWindow="-120" windowWidth="29040" windowHeight="15840" xr2:uid="{728E81CB-44DD-4F8C-AFCA-F773ADB278DE}"/>
  </bookViews>
  <sheets>
    <sheet name="1 Opsamling" sheetId="11" r:id="rId1"/>
    <sheet name="2 Praksis" sheetId="1" r:id="rId2"/>
    <sheet name="3 Scenarier" sheetId="2" r:id="rId3"/>
    <sheet name="4 Efterafgrøder" sheetId="4" r:id="rId4"/>
    <sheet name="5 Mellemafgrøder" sheetId="5" r:id="rId5"/>
    <sheet name="6 Tidlig såning" sheetId="6" r:id="rId6"/>
    <sheet name="7 Brak v vandløb" sheetId="7" r:id="rId7"/>
    <sheet name="8 Brak" sheetId="8" r:id="rId8"/>
    <sheet name="9 Kvotereduktion" sheetId="9" r:id="rId9"/>
    <sheet name="Ark1" sheetId="10" state="hidden" r:id="rId10"/>
  </sheets>
  <definedNames>
    <definedName name="BygEgen">'Ark1'!$C$9</definedName>
    <definedName name="BygStand">'Ark1'!$B$9</definedName>
    <definedName name="HvedeEgen">'Ark1'!$C$8</definedName>
    <definedName name="HvedeStand">'Ark1'!$B$8</definedName>
    <definedName name="JaNej">'Ark1'!$A$2:$A$4</definedName>
    <definedName name="Kornkøb">'3 Scenarier'!$C$5</definedName>
    <definedName name="Ledig">'3 Scenarier'!$F$84</definedName>
    <definedName name="NEgen">'Ark1'!$C$13</definedName>
    <definedName name="NStand">'Ark1'!$B$13</definedName>
    <definedName name="OrgGodn">'3 Scenarier'!$F$86</definedName>
    <definedName name="ProtEgen">'Ark1'!$C$14</definedName>
    <definedName name="Protkorn">'3 Scenarier'!$C$3</definedName>
    <definedName name="ProtStand">'Ark1'!$B$14</definedName>
    <definedName name="RapsEgen">'Ark1'!$C$11</definedName>
    <definedName name="RapsStand">'Ark1'!$B$11</definedName>
    <definedName name="RugEgen">'Ark1'!$C$10</definedName>
    <definedName name="RugStand">'Ark1'!$B$10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7" i="4" l="1"/>
  <c r="F86" i="4"/>
  <c r="D87" i="4"/>
  <c r="D86" i="4"/>
  <c r="E86" i="4"/>
  <c r="C86" i="4"/>
  <c r="AD215" i="2"/>
  <c r="AD213" i="2"/>
  <c r="Q215" i="2"/>
  <c r="Q213" i="2"/>
  <c r="C66" i="1" l="1"/>
  <c r="C14" i="10"/>
  <c r="F180" i="9"/>
  <c r="F181" i="9"/>
  <c r="F182" i="9"/>
  <c r="F179" i="9"/>
  <c r="E180" i="9"/>
  <c r="E181" i="9"/>
  <c r="E182" i="9"/>
  <c r="E179" i="9"/>
  <c r="D180" i="9"/>
  <c r="D181" i="9"/>
  <c r="D182" i="9"/>
  <c r="D179" i="9"/>
  <c r="C180" i="9"/>
  <c r="C181" i="9"/>
  <c r="C182" i="9"/>
  <c r="C179" i="9"/>
  <c r="C13" i="10"/>
  <c r="C11" i="10"/>
  <c r="C10" i="10"/>
  <c r="J94" i="9" s="1"/>
  <c r="C9" i="10"/>
  <c r="C8" i="10"/>
  <c r="E106" i="9" l="1"/>
  <c r="O94" i="9"/>
  <c r="J104" i="9"/>
  <c r="J122" i="9"/>
  <c r="J118" i="9"/>
  <c r="I102" i="9"/>
  <c r="N78" i="9"/>
  <c r="J98" i="9"/>
  <c r="O84" i="9"/>
  <c r="O80" i="9"/>
  <c r="O98" i="9"/>
  <c r="J108" i="9"/>
  <c r="E95" i="9"/>
  <c r="D103" i="9"/>
  <c r="D121" i="9"/>
  <c r="D114" i="9"/>
  <c r="E97" i="9"/>
  <c r="D92" i="9"/>
  <c r="C82" i="9"/>
  <c r="E94" i="9"/>
  <c r="E120" i="9"/>
  <c r="D111" i="9"/>
  <c r="E116" i="9"/>
  <c r="D90" i="9"/>
  <c r="E110" i="9"/>
  <c r="D95" i="9"/>
  <c r="D107" i="9"/>
  <c r="D93" i="9"/>
  <c r="O104" i="9"/>
  <c r="T84" i="9"/>
  <c r="T80" i="9"/>
  <c r="T108" i="9"/>
  <c r="T104" i="9"/>
  <c r="T122" i="9"/>
  <c r="T118" i="9"/>
  <c r="D99" i="9"/>
  <c r="D91" i="9"/>
  <c r="E93" i="9"/>
  <c r="D110" i="9"/>
  <c r="D106" i="9"/>
  <c r="E114" i="9"/>
  <c r="D120" i="9"/>
  <c r="D116" i="9"/>
  <c r="I98" i="9"/>
  <c r="I94" i="9"/>
  <c r="J102" i="9"/>
  <c r="I108" i="9"/>
  <c r="I104" i="9"/>
  <c r="I122" i="9"/>
  <c r="I118" i="9"/>
  <c r="O78" i="9"/>
  <c r="N84" i="9"/>
  <c r="N80" i="9"/>
  <c r="N98" i="9"/>
  <c r="N94" i="9"/>
  <c r="O102" i="9"/>
  <c r="N108" i="9"/>
  <c r="N104" i="9"/>
  <c r="N122" i="9"/>
  <c r="N118" i="9"/>
  <c r="T78" i="9"/>
  <c r="S84" i="9"/>
  <c r="S80" i="9"/>
  <c r="S98" i="9"/>
  <c r="S94" i="9"/>
  <c r="T102" i="9"/>
  <c r="S108" i="9"/>
  <c r="S104" i="9"/>
  <c r="S122" i="9"/>
  <c r="S118" i="9"/>
  <c r="O108" i="9"/>
  <c r="S78" i="9"/>
  <c r="T98" i="9"/>
  <c r="D98" i="9"/>
  <c r="E90" i="9"/>
  <c r="E92" i="9"/>
  <c r="E109" i="9"/>
  <c r="E105" i="9"/>
  <c r="E123" i="9"/>
  <c r="E119" i="9"/>
  <c r="E115" i="9"/>
  <c r="J97" i="9"/>
  <c r="J93" i="9"/>
  <c r="J111" i="9"/>
  <c r="J107" i="9"/>
  <c r="J103" i="9"/>
  <c r="J121" i="9"/>
  <c r="J117" i="9"/>
  <c r="O87" i="9"/>
  <c r="O83" i="9"/>
  <c r="O79" i="9"/>
  <c r="O97" i="9"/>
  <c r="O93" i="9"/>
  <c r="O111" i="9"/>
  <c r="O107" i="9"/>
  <c r="O103" i="9"/>
  <c r="O121" i="9"/>
  <c r="O117" i="9"/>
  <c r="T87" i="9"/>
  <c r="T83" i="9"/>
  <c r="T79" i="9"/>
  <c r="T97" i="9"/>
  <c r="T93" i="9"/>
  <c r="T111" i="9"/>
  <c r="T107" i="9"/>
  <c r="T103" i="9"/>
  <c r="T121" i="9"/>
  <c r="T117" i="9"/>
  <c r="O122" i="9"/>
  <c r="T94" i="9"/>
  <c r="D97" i="9"/>
  <c r="E91" i="9"/>
  <c r="D105" i="9"/>
  <c r="D123" i="9"/>
  <c r="D119" i="9"/>
  <c r="D115" i="9"/>
  <c r="I97" i="9"/>
  <c r="I93" i="9"/>
  <c r="I111" i="9"/>
  <c r="I107" i="9"/>
  <c r="I103" i="9"/>
  <c r="I121" i="9"/>
  <c r="I117" i="9"/>
  <c r="N87" i="9"/>
  <c r="N83" i="9"/>
  <c r="N79" i="9"/>
  <c r="N97" i="9"/>
  <c r="N93" i="9"/>
  <c r="N111" i="9"/>
  <c r="N107" i="9"/>
  <c r="N103" i="9"/>
  <c r="N121" i="9"/>
  <c r="N117" i="9"/>
  <c r="S87" i="9"/>
  <c r="S83" i="9"/>
  <c r="S79" i="9"/>
  <c r="S97" i="9"/>
  <c r="S93" i="9"/>
  <c r="S111" i="9"/>
  <c r="S107" i="9"/>
  <c r="S103" i="9"/>
  <c r="S121" i="9"/>
  <c r="S117" i="9"/>
  <c r="N102" i="9"/>
  <c r="O118" i="9"/>
  <c r="S102" i="9"/>
  <c r="E99" i="9"/>
  <c r="D109" i="9"/>
  <c r="D96" i="9"/>
  <c r="E98" i="9"/>
  <c r="D102" i="9"/>
  <c r="E108" i="9"/>
  <c r="E104" i="9"/>
  <c r="E122" i="9"/>
  <c r="E118" i="9"/>
  <c r="I90" i="9"/>
  <c r="J96" i="9"/>
  <c r="J92" i="9"/>
  <c r="J110" i="9"/>
  <c r="J106" i="9"/>
  <c r="I114" i="9"/>
  <c r="J120" i="9"/>
  <c r="J116" i="9"/>
  <c r="O86" i="9"/>
  <c r="O82" i="9"/>
  <c r="N90" i="9"/>
  <c r="O96" i="9"/>
  <c r="O92" i="9"/>
  <c r="O110" i="9"/>
  <c r="O106" i="9"/>
  <c r="N114" i="9"/>
  <c r="O120" i="9"/>
  <c r="O116" i="9"/>
  <c r="T86" i="9"/>
  <c r="T82" i="9"/>
  <c r="S90" i="9"/>
  <c r="T96" i="9"/>
  <c r="T92" i="9"/>
  <c r="T110" i="9"/>
  <c r="T106" i="9"/>
  <c r="S114" i="9"/>
  <c r="T120" i="9"/>
  <c r="T116" i="9"/>
  <c r="E102" i="9"/>
  <c r="D108" i="9"/>
  <c r="D104" i="9"/>
  <c r="D122" i="9"/>
  <c r="D118" i="9"/>
  <c r="J90" i="9"/>
  <c r="I96" i="9"/>
  <c r="I92" i="9"/>
  <c r="I110" i="9"/>
  <c r="I106" i="9"/>
  <c r="J114" i="9"/>
  <c r="I120" i="9"/>
  <c r="I116" i="9"/>
  <c r="N86" i="9"/>
  <c r="N82" i="9"/>
  <c r="O90" i="9"/>
  <c r="N96" i="9"/>
  <c r="N92" i="9"/>
  <c r="N110" i="9"/>
  <c r="N106" i="9"/>
  <c r="O114" i="9"/>
  <c r="N120" i="9"/>
  <c r="N116" i="9"/>
  <c r="S86" i="9"/>
  <c r="S82" i="9"/>
  <c r="T90" i="9"/>
  <c r="S96" i="9"/>
  <c r="S92" i="9"/>
  <c r="S110" i="9"/>
  <c r="S106" i="9"/>
  <c r="T114" i="9"/>
  <c r="S120" i="9"/>
  <c r="S116" i="9"/>
  <c r="D94" i="9"/>
  <c r="E96" i="9"/>
  <c r="E111" i="9"/>
  <c r="E107" i="9"/>
  <c r="E103" i="9"/>
  <c r="E121" i="9"/>
  <c r="E117" i="9"/>
  <c r="J99" i="9"/>
  <c r="J95" i="9"/>
  <c r="J91" i="9"/>
  <c r="J109" i="9"/>
  <c r="J105" i="9"/>
  <c r="J123" i="9"/>
  <c r="J119" i="9"/>
  <c r="J115" i="9"/>
  <c r="O85" i="9"/>
  <c r="O81" i="9"/>
  <c r="O99" i="9"/>
  <c r="O95" i="9"/>
  <c r="O91" i="9"/>
  <c r="O109" i="9"/>
  <c r="O105" i="9"/>
  <c r="O123" i="9"/>
  <c r="O119" i="9"/>
  <c r="O115" i="9"/>
  <c r="T85" i="9"/>
  <c r="T81" i="9"/>
  <c r="T99" i="9"/>
  <c r="T95" i="9"/>
  <c r="T91" i="9"/>
  <c r="T109" i="9"/>
  <c r="T105" i="9"/>
  <c r="T123" i="9"/>
  <c r="T119" i="9"/>
  <c r="T115" i="9"/>
  <c r="D117" i="9"/>
  <c r="I99" i="9"/>
  <c r="I95" i="9"/>
  <c r="I91" i="9"/>
  <c r="I109" i="9"/>
  <c r="I105" i="9"/>
  <c r="I123" i="9"/>
  <c r="I119" i="9"/>
  <c r="I115" i="9"/>
  <c r="N85" i="9"/>
  <c r="N81" i="9"/>
  <c r="N99" i="9"/>
  <c r="N95" i="9"/>
  <c r="N91" i="9"/>
  <c r="N109" i="9"/>
  <c r="N105" i="9"/>
  <c r="N123" i="9"/>
  <c r="N119" i="9"/>
  <c r="N115" i="9"/>
  <c r="S85" i="9"/>
  <c r="S81" i="9"/>
  <c r="S99" i="9"/>
  <c r="S95" i="9"/>
  <c r="S91" i="9"/>
  <c r="S109" i="9"/>
  <c r="S105" i="9"/>
  <c r="S123" i="9"/>
  <c r="S119" i="9"/>
  <c r="S115" i="9"/>
  <c r="R122" i="9"/>
  <c r="M122" i="9"/>
  <c r="M80" i="9"/>
  <c r="H78" i="9"/>
  <c r="I81" i="9"/>
  <c r="D86" i="9"/>
  <c r="D81" i="9"/>
  <c r="D79" i="9"/>
  <c r="E78" i="9"/>
  <c r="I80" i="9"/>
  <c r="E80" i="9"/>
  <c r="I83" i="9"/>
  <c r="J82" i="9"/>
  <c r="D87" i="9"/>
  <c r="D85" i="9"/>
  <c r="I87" i="9"/>
  <c r="I79" i="9"/>
  <c r="E87" i="9"/>
  <c r="E79" i="9"/>
  <c r="J81" i="9"/>
  <c r="D84" i="9"/>
  <c r="I86" i="9"/>
  <c r="E86" i="9"/>
  <c r="J78" i="9"/>
  <c r="J80" i="9"/>
  <c r="D83" i="9"/>
  <c r="E85" i="9"/>
  <c r="J87" i="9"/>
  <c r="J79" i="9"/>
  <c r="I85" i="9"/>
  <c r="D82" i="9"/>
  <c r="I84" i="9"/>
  <c r="D78" i="9"/>
  <c r="E84" i="9"/>
  <c r="J86" i="9"/>
  <c r="I78" i="9"/>
  <c r="E83" i="9"/>
  <c r="J85" i="9"/>
  <c r="D80" i="9"/>
  <c r="I82" i="9"/>
  <c r="E82" i="9"/>
  <c r="J84" i="9"/>
  <c r="E81" i="9"/>
  <c r="J83" i="9"/>
  <c r="C93" i="9"/>
  <c r="H107" i="9"/>
  <c r="M93" i="9"/>
  <c r="R87" i="9"/>
  <c r="C90" i="9"/>
  <c r="H90" i="9"/>
  <c r="M86" i="9"/>
  <c r="M120" i="9"/>
  <c r="R86" i="9"/>
  <c r="R90" i="9"/>
  <c r="R92" i="9"/>
  <c r="R106" i="9"/>
  <c r="R120" i="9"/>
  <c r="C99" i="9"/>
  <c r="C91" i="9"/>
  <c r="C105" i="9"/>
  <c r="C119" i="9"/>
  <c r="H85" i="9"/>
  <c r="H99" i="9"/>
  <c r="H91" i="9"/>
  <c r="H105" i="9"/>
  <c r="H119" i="9"/>
  <c r="M85" i="9"/>
  <c r="M99" i="9"/>
  <c r="M91" i="9"/>
  <c r="M105" i="9"/>
  <c r="M119" i="9"/>
  <c r="R85" i="9"/>
  <c r="R99" i="9"/>
  <c r="R91" i="9"/>
  <c r="R105" i="9"/>
  <c r="R119" i="9"/>
  <c r="C107" i="9"/>
  <c r="M87" i="9"/>
  <c r="R79" i="9"/>
  <c r="C120" i="9"/>
  <c r="H120" i="9"/>
  <c r="C98" i="9"/>
  <c r="H84" i="9"/>
  <c r="H104" i="9"/>
  <c r="R84" i="9"/>
  <c r="R118" i="9"/>
  <c r="C97" i="9"/>
  <c r="C111" i="9"/>
  <c r="C103" i="9"/>
  <c r="C117" i="9"/>
  <c r="H83" i="9"/>
  <c r="H97" i="9"/>
  <c r="H111" i="9"/>
  <c r="H103" i="9"/>
  <c r="H117" i="9"/>
  <c r="M83" i="9"/>
  <c r="M97" i="9"/>
  <c r="M111" i="9"/>
  <c r="M103" i="9"/>
  <c r="M117" i="9"/>
  <c r="R83" i="9"/>
  <c r="R97" i="9"/>
  <c r="R111" i="9"/>
  <c r="R103" i="9"/>
  <c r="R117" i="9"/>
  <c r="H87" i="9"/>
  <c r="M79" i="9"/>
  <c r="R107" i="9"/>
  <c r="C106" i="9"/>
  <c r="H106" i="9"/>
  <c r="M106" i="9"/>
  <c r="C118" i="9"/>
  <c r="M84" i="9"/>
  <c r="M102" i="9"/>
  <c r="R102" i="9"/>
  <c r="C96" i="9"/>
  <c r="C110" i="9"/>
  <c r="C114" i="9"/>
  <c r="C116" i="9"/>
  <c r="H82" i="9"/>
  <c r="H96" i="9"/>
  <c r="H110" i="9"/>
  <c r="H114" i="9"/>
  <c r="H116" i="9"/>
  <c r="M82" i="9"/>
  <c r="M96" i="9"/>
  <c r="M110" i="9"/>
  <c r="M114" i="9"/>
  <c r="M116" i="9"/>
  <c r="R82" i="9"/>
  <c r="R96" i="9"/>
  <c r="R110" i="9"/>
  <c r="R114" i="9"/>
  <c r="R116" i="9"/>
  <c r="H93" i="9"/>
  <c r="M107" i="9"/>
  <c r="R121" i="9"/>
  <c r="H86" i="9"/>
  <c r="M90" i="9"/>
  <c r="C102" i="9"/>
  <c r="H102" i="9"/>
  <c r="M98" i="9"/>
  <c r="M118" i="9"/>
  <c r="R98" i="9"/>
  <c r="C95" i="9"/>
  <c r="C109" i="9"/>
  <c r="C123" i="9"/>
  <c r="C115" i="9"/>
  <c r="H81" i="9"/>
  <c r="H95" i="9"/>
  <c r="H109" i="9"/>
  <c r="H123" i="9"/>
  <c r="H115" i="9"/>
  <c r="M81" i="9"/>
  <c r="M95" i="9"/>
  <c r="M109" i="9"/>
  <c r="M123" i="9"/>
  <c r="M115" i="9"/>
  <c r="R81" i="9"/>
  <c r="R95" i="9"/>
  <c r="R109" i="9"/>
  <c r="R123" i="9"/>
  <c r="R115" i="9"/>
  <c r="H79" i="9"/>
  <c r="H121" i="9"/>
  <c r="R93" i="9"/>
  <c r="C92" i="9"/>
  <c r="H92" i="9"/>
  <c r="M92" i="9"/>
  <c r="C104" i="9"/>
  <c r="H98" i="9"/>
  <c r="H118" i="9"/>
  <c r="M104" i="9"/>
  <c r="R104" i="9"/>
  <c r="C94" i="9"/>
  <c r="C108" i="9"/>
  <c r="C122" i="9"/>
  <c r="H80" i="9"/>
  <c r="H94" i="9"/>
  <c r="H108" i="9"/>
  <c r="H122" i="9"/>
  <c r="M78" i="9"/>
  <c r="M94" i="9"/>
  <c r="M108" i="9"/>
  <c r="R78" i="9"/>
  <c r="R80" i="9"/>
  <c r="R94" i="9"/>
  <c r="R108" i="9"/>
  <c r="C78" i="9"/>
  <c r="C121" i="9"/>
  <c r="M121" i="9"/>
  <c r="C79" i="9"/>
  <c r="C86" i="9"/>
  <c r="C85" i="9"/>
  <c r="C81" i="9"/>
  <c r="C80" i="9"/>
  <c r="C84" i="9"/>
  <c r="C83" i="9"/>
  <c r="C87" i="9"/>
  <c r="C31" i="11" l="1"/>
  <c r="C29" i="11"/>
  <c r="C25" i="11"/>
  <c r="C23" i="11"/>
  <c r="C21" i="11"/>
  <c r="AA284" i="2" l="1"/>
  <c r="N284" i="2"/>
  <c r="AF280" i="2"/>
  <c r="AF278" i="2"/>
  <c r="AF276" i="2"/>
  <c r="AF274" i="2"/>
  <c r="AF272" i="2"/>
  <c r="AF270" i="2"/>
  <c r="AF268" i="2"/>
  <c r="AF266" i="2"/>
  <c r="M64" i="11" s="1"/>
  <c r="AF264" i="2"/>
  <c r="AF262" i="2"/>
  <c r="AF260" i="2"/>
  <c r="AJ258" i="2"/>
  <c r="AK258" i="2" s="1"/>
  <c r="AF258" i="2"/>
  <c r="AJ256" i="2"/>
  <c r="AK256" i="2" s="1"/>
  <c r="AF256" i="2"/>
  <c r="AJ254" i="2"/>
  <c r="AK254" i="2" s="1"/>
  <c r="AF254" i="2"/>
  <c r="AJ252" i="2"/>
  <c r="AK252" i="2" s="1"/>
  <c r="AF252" i="2"/>
  <c r="AJ250" i="2"/>
  <c r="AK250" i="2" s="1"/>
  <c r="AF250" i="2"/>
  <c r="AJ248" i="2"/>
  <c r="AK248" i="2" s="1"/>
  <c r="AF248" i="2"/>
  <c r="AF246" i="2"/>
  <c r="AF244" i="2"/>
  <c r="AF242" i="2"/>
  <c r="AF240" i="2"/>
  <c r="AJ238" i="2"/>
  <c r="AK238" i="2" s="1"/>
  <c r="AF238" i="2"/>
  <c r="AJ236" i="2"/>
  <c r="AK236" i="2" s="1"/>
  <c r="AF236" i="2"/>
  <c r="AJ234" i="2"/>
  <c r="AK234" i="2" s="1"/>
  <c r="AF234" i="2"/>
  <c r="AJ232" i="2"/>
  <c r="AK232" i="2" s="1"/>
  <c r="AF232" i="2"/>
  <c r="AJ230" i="2"/>
  <c r="AK230" i="2" s="1"/>
  <c r="AF230" i="2"/>
  <c r="AJ228" i="2"/>
  <c r="AK228" i="2" s="1"/>
  <c r="AF228" i="2"/>
  <c r="AF226" i="2"/>
  <c r="AF224" i="2"/>
  <c r="AF222" i="2"/>
  <c r="AF220" i="2"/>
  <c r="AA198" i="2"/>
  <c r="N198" i="2"/>
  <c r="M56" i="11" l="1"/>
  <c r="AK284" i="2"/>
  <c r="M62" i="11"/>
  <c r="M60" i="11"/>
  <c r="M66" i="11"/>
  <c r="M58" i="11"/>
  <c r="C174" i="2"/>
  <c r="AF194" i="2"/>
  <c r="AF192" i="2"/>
  <c r="AF190" i="2"/>
  <c r="AF188" i="2"/>
  <c r="AF186" i="2"/>
  <c r="AF184" i="2"/>
  <c r="AF182" i="2"/>
  <c r="AF180" i="2"/>
  <c r="AF178" i="2"/>
  <c r="AF176" i="2"/>
  <c r="AF174" i="2"/>
  <c r="M41" i="11" s="1"/>
  <c r="AJ172" i="2"/>
  <c r="AK172" i="2" s="1"/>
  <c r="AF172" i="2"/>
  <c r="AJ170" i="2"/>
  <c r="AK170" i="2" s="1"/>
  <c r="AF170" i="2"/>
  <c r="AJ168" i="2"/>
  <c r="AK168" i="2" s="1"/>
  <c r="AF168" i="2"/>
  <c r="AJ166" i="2"/>
  <c r="AK166" i="2" s="1"/>
  <c r="AF166" i="2"/>
  <c r="AJ164" i="2"/>
  <c r="AK164" i="2" s="1"/>
  <c r="AF164" i="2"/>
  <c r="AJ162" i="2"/>
  <c r="AK162" i="2" s="1"/>
  <c r="AF162" i="2"/>
  <c r="AF160" i="2"/>
  <c r="AF158" i="2"/>
  <c r="AF156" i="2"/>
  <c r="AF154" i="2"/>
  <c r="AJ152" i="2"/>
  <c r="AK152" i="2" s="1"/>
  <c r="AF152" i="2"/>
  <c r="AJ150" i="2"/>
  <c r="AK150" i="2" s="1"/>
  <c r="AF150" i="2"/>
  <c r="AJ148" i="2"/>
  <c r="AK148" i="2" s="1"/>
  <c r="AF148" i="2"/>
  <c r="AJ146" i="2"/>
  <c r="AK146" i="2" s="1"/>
  <c r="AF146" i="2"/>
  <c r="AJ144" i="2"/>
  <c r="AK144" i="2" s="1"/>
  <c r="AF144" i="2"/>
  <c r="AJ142" i="2"/>
  <c r="AK142" i="2" s="1"/>
  <c r="AF142" i="2"/>
  <c r="AF140" i="2"/>
  <c r="AF138" i="2"/>
  <c r="AF136" i="2"/>
  <c r="AF134" i="2"/>
  <c r="H170" i="2"/>
  <c r="H168" i="2"/>
  <c r="H166" i="2"/>
  <c r="H164" i="2"/>
  <c r="H162" i="2"/>
  <c r="H160" i="2"/>
  <c r="H158" i="2"/>
  <c r="H156" i="2"/>
  <c r="H154" i="2"/>
  <c r="H152" i="2"/>
  <c r="H150" i="2"/>
  <c r="C41" i="11" s="1"/>
  <c r="H148" i="2"/>
  <c r="H146" i="2"/>
  <c r="H144" i="2"/>
  <c r="H142" i="2"/>
  <c r="H140" i="2"/>
  <c r="H138" i="2"/>
  <c r="H136" i="2"/>
  <c r="H134" i="2"/>
  <c r="S194" i="2"/>
  <c r="S192" i="2"/>
  <c r="S190" i="2"/>
  <c r="S188" i="2"/>
  <c r="S186" i="2"/>
  <c r="S184" i="2"/>
  <c r="S182" i="2"/>
  <c r="S180" i="2"/>
  <c r="S178" i="2"/>
  <c r="S176" i="2"/>
  <c r="S174" i="2"/>
  <c r="H41" i="11" s="1"/>
  <c r="W172" i="2"/>
  <c r="X172" i="2" s="1"/>
  <c r="S172" i="2"/>
  <c r="W170" i="2"/>
  <c r="X170" i="2" s="1"/>
  <c r="S170" i="2"/>
  <c r="W168" i="2"/>
  <c r="X168" i="2" s="1"/>
  <c r="S168" i="2"/>
  <c r="W166" i="2"/>
  <c r="X166" i="2" s="1"/>
  <c r="S166" i="2"/>
  <c r="W164" i="2"/>
  <c r="X164" i="2" s="1"/>
  <c r="S164" i="2"/>
  <c r="W162" i="2"/>
  <c r="X162" i="2" s="1"/>
  <c r="S162" i="2"/>
  <c r="S160" i="2"/>
  <c r="S158" i="2"/>
  <c r="S156" i="2"/>
  <c r="S154" i="2"/>
  <c r="W152" i="2"/>
  <c r="X152" i="2" s="1"/>
  <c r="S152" i="2"/>
  <c r="W150" i="2"/>
  <c r="X150" i="2" s="1"/>
  <c r="S150" i="2"/>
  <c r="W148" i="2"/>
  <c r="X148" i="2" s="1"/>
  <c r="S148" i="2"/>
  <c r="W146" i="2"/>
  <c r="X146" i="2" s="1"/>
  <c r="S146" i="2"/>
  <c r="W144" i="2"/>
  <c r="X144" i="2" s="1"/>
  <c r="S144" i="2"/>
  <c r="W142" i="2"/>
  <c r="X142" i="2" s="1"/>
  <c r="S142" i="2"/>
  <c r="S140" i="2"/>
  <c r="S138" i="2"/>
  <c r="S136" i="2"/>
  <c r="S134" i="2"/>
  <c r="S280" i="2"/>
  <c r="S278" i="2"/>
  <c r="S276" i="2"/>
  <c r="S274" i="2"/>
  <c r="S272" i="2"/>
  <c r="S270" i="2"/>
  <c r="S266" i="2"/>
  <c r="W258" i="2"/>
  <c r="X258" i="2" s="1"/>
  <c r="S258" i="2"/>
  <c r="W256" i="2"/>
  <c r="X256" i="2" s="1"/>
  <c r="S256" i="2"/>
  <c r="W254" i="2"/>
  <c r="X254" i="2" s="1"/>
  <c r="S254" i="2"/>
  <c r="W252" i="2"/>
  <c r="X252" i="2" s="1"/>
  <c r="S252" i="2"/>
  <c r="W250" i="2"/>
  <c r="X250" i="2" s="1"/>
  <c r="S250" i="2"/>
  <c r="W248" i="2"/>
  <c r="X248" i="2" s="1"/>
  <c r="S248" i="2"/>
  <c r="S246" i="2"/>
  <c r="S244" i="2"/>
  <c r="S242" i="2"/>
  <c r="C43" i="11" l="1"/>
  <c r="H62" i="11"/>
  <c r="H43" i="11"/>
  <c r="H45" i="11"/>
  <c r="M43" i="11"/>
  <c r="C45" i="11"/>
  <c r="H66" i="11"/>
  <c r="M45" i="11"/>
  <c r="M39" i="11"/>
  <c r="H39" i="11"/>
  <c r="C39" i="11"/>
  <c r="AK198" i="2"/>
  <c r="X198" i="2"/>
  <c r="W238" i="2"/>
  <c r="X238" i="2" s="1"/>
  <c r="W236" i="2"/>
  <c r="X236" i="2" s="1"/>
  <c r="W234" i="2"/>
  <c r="X234" i="2" s="1"/>
  <c r="W232" i="2"/>
  <c r="X232" i="2" s="1"/>
  <c r="W230" i="2"/>
  <c r="X230" i="2" s="1"/>
  <c r="W228" i="2"/>
  <c r="X228" i="2" s="1"/>
  <c r="S238" i="2"/>
  <c r="S236" i="2"/>
  <c r="S234" i="2"/>
  <c r="S232" i="2"/>
  <c r="S230" i="2"/>
  <c r="S228" i="2"/>
  <c r="S226" i="2"/>
  <c r="S222" i="2"/>
  <c r="X284" i="2" l="1"/>
  <c r="S20" i="8" l="1"/>
  <c r="R20" i="8"/>
  <c r="Q20" i="8"/>
  <c r="P20" i="8"/>
  <c r="O20" i="8"/>
  <c r="N20" i="8"/>
  <c r="M20" i="8"/>
  <c r="L20" i="8"/>
  <c r="J20" i="8"/>
  <c r="I20" i="8"/>
  <c r="H20" i="8"/>
  <c r="G20" i="8"/>
  <c r="F20" i="8"/>
  <c r="E20" i="8"/>
  <c r="D20" i="8"/>
  <c r="C20" i="8"/>
  <c r="S19" i="8"/>
  <c r="R19" i="8"/>
  <c r="Q19" i="8"/>
  <c r="P19" i="8"/>
  <c r="O19" i="8"/>
  <c r="N19" i="8"/>
  <c r="M19" i="8"/>
  <c r="L19" i="8"/>
  <c r="J19" i="8"/>
  <c r="I19" i="8"/>
  <c r="H19" i="8"/>
  <c r="G19" i="8"/>
  <c r="F19" i="8"/>
  <c r="E19" i="8"/>
  <c r="D19" i="8"/>
  <c r="C19" i="8"/>
  <c r="S18" i="7"/>
  <c r="R18" i="7"/>
  <c r="Q18" i="7"/>
  <c r="P18" i="7"/>
  <c r="O18" i="7"/>
  <c r="N18" i="7"/>
  <c r="M18" i="7"/>
  <c r="L18" i="7"/>
  <c r="S17" i="7"/>
  <c r="R17" i="7"/>
  <c r="Q17" i="7"/>
  <c r="P17" i="7"/>
  <c r="O17" i="7"/>
  <c r="N17" i="7"/>
  <c r="M17" i="7"/>
  <c r="L17" i="7"/>
  <c r="J18" i="7"/>
  <c r="AB18" i="7" s="1"/>
  <c r="E18" i="7"/>
  <c r="F18" i="7"/>
  <c r="G18" i="7"/>
  <c r="Y18" i="7" s="1"/>
  <c r="H18" i="7"/>
  <c r="Z18" i="7" s="1"/>
  <c r="I18" i="7"/>
  <c r="D18" i="7"/>
  <c r="C18" i="7"/>
  <c r="J17" i="7"/>
  <c r="AB17" i="7" s="1"/>
  <c r="E17" i="7"/>
  <c r="F17" i="7"/>
  <c r="G17" i="7"/>
  <c r="H17" i="7"/>
  <c r="Z17" i="7" s="1"/>
  <c r="I17" i="7"/>
  <c r="D17" i="7"/>
  <c r="C17" i="7"/>
  <c r="W18" i="7" l="1"/>
  <c r="W17" i="7"/>
  <c r="AH270" i="2"/>
  <c r="AI270" i="2" s="1"/>
  <c r="U270" i="2"/>
  <c r="V270" i="2" s="1"/>
  <c r="X17" i="7"/>
  <c r="X18" i="7"/>
  <c r="AA17" i="7"/>
  <c r="AA18" i="7"/>
  <c r="U272" i="2" s="1"/>
  <c r="V272" i="2" s="1"/>
  <c r="J162" i="2"/>
  <c r="K162" i="2" s="1"/>
  <c r="U186" i="2"/>
  <c r="V186" i="2" s="1"/>
  <c r="AH186" i="2"/>
  <c r="AI186" i="2" s="1"/>
  <c r="X20" i="8"/>
  <c r="AA19" i="8"/>
  <c r="AA20" i="8"/>
  <c r="AB19" i="8"/>
  <c r="AB20" i="8"/>
  <c r="Z19" i="8"/>
  <c r="Z20" i="8"/>
  <c r="Y19" i="8"/>
  <c r="Y20" i="8"/>
  <c r="X19" i="8"/>
  <c r="W19" i="8"/>
  <c r="W20" i="8"/>
  <c r="V19" i="8"/>
  <c r="V20" i="8"/>
  <c r="U19" i="8"/>
  <c r="U20" i="8"/>
  <c r="Y17" i="7"/>
  <c r="U184" i="2" s="1"/>
  <c r="V184" i="2" s="1"/>
  <c r="V18" i="7"/>
  <c r="O39" i="6"/>
  <c r="K39" i="6"/>
  <c r="J39" i="6"/>
  <c r="I39" i="6"/>
  <c r="N39" i="6" s="1"/>
  <c r="H39" i="6"/>
  <c r="F39" i="6"/>
  <c r="E39" i="6"/>
  <c r="D39" i="6"/>
  <c r="C39" i="6"/>
  <c r="K38" i="6"/>
  <c r="J38" i="6"/>
  <c r="I38" i="6"/>
  <c r="H38" i="6"/>
  <c r="M38" i="6" s="1"/>
  <c r="F38" i="6"/>
  <c r="E38" i="6"/>
  <c r="D38" i="6"/>
  <c r="C38" i="6"/>
  <c r="K17" i="6"/>
  <c r="J17" i="6"/>
  <c r="I17" i="6"/>
  <c r="H17" i="6"/>
  <c r="F17" i="6"/>
  <c r="E17" i="6"/>
  <c r="D17" i="6"/>
  <c r="C17" i="6"/>
  <c r="K16" i="6"/>
  <c r="J16" i="6"/>
  <c r="I16" i="6"/>
  <c r="H16" i="6"/>
  <c r="F16" i="6"/>
  <c r="E16" i="6"/>
  <c r="D16" i="6"/>
  <c r="C16" i="6"/>
  <c r="K39" i="5"/>
  <c r="J39" i="5"/>
  <c r="I39" i="5"/>
  <c r="H39" i="5"/>
  <c r="F39" i="5"/>
  <c r="E39" i="5"/>
  <c r="O39" i="5" s="1"/>
  <c r="D39" i="5"/>
  <c r="N39" i="5" s="1"/>
  <c r="C39" i="5"/>
  <c r="K38" i="5"/>
  <c r="J38" i="5"/>
  <c r="I38" i="5"/>
  <c r="H38" i="5"/>
  <c r="F38" i="5"/>
  <c r="E38" i="5"/>
  <c r="D38" i="5"/>
  <c r="C38" i="5"/>
  <c r="C16" i="5"/>
  <c r="K17" i="5"/>
  <c r="J17" i="5"/>
  <c r="I17" i="5"/>
  <c r="H17" i="5"/>
  <c r="F17" i="5"/>
  <c r="E17" i="5"/>
  <c r="D17" i="5"/>
  <c r="C17" i="5"/>
  <c r="K16" i="5"/>
  <c r="J16" i="5"/>
  <c r="I16" i="5"/>
  <c r="H16" i="5"/>
  <c r="F16" i="5"/>
  <c r="E16" i="5"/>
  <c r="D16" i="5"/>
  <c r="M16" i="5"/>
  <c r="H94" i="4"/>
  <c r="K95" i="4"/>
  <c r="J95" i="4"/>
  <c r="I95" i="4"/>
  <c r="H95" i="4"/>
  <c r="K94" i="4"/>
  <c r="J94" i="4"/>
  <c r="I94" i="4"/>
  <c r="D94" i="4"/>
  <c r="E94" i="4"/>
  <c r="F94" i="4"/>
  <c r="D95" i="4"/>
  <c r="E95" i="4"/>
  <c r="F95" i="4"/>
  <c r="C95" i="4"/>
  <c r="C94" i="4"/>
  <c r="K61" i="4"/>
  <c r="J61" i="4"/>
  <c r="I61" i="4"/>
  <c r="H61" i="4"/>
  <c r="K60" i="4"/>
  <c r="J60" i="4"/>
  <c r="I60" i="4"/>
  <c r="H60" i="4"/>
  <c r="D61" i="4"/>
  <c r="E61" i="4"/>
  <c r="F61" i="4"/>
  <c r="C61" i="4"/>
  <c r="D60" i="4"/>
  <c r="N60" i="4" s="1"/>
  <c r="E60" i="4"/>
  <c r="F60" i="4"/>
  <c r="C60" i="4"/>
  <c r="K38" i="4"/>
  <c r="J38" i="4"/>
  <c r="I38" i="4"/>
  <c r="H38" i="4"/>
  <c r="F38" i="4"/>
  <c r="E38" i="4"/>
  <c r="D38" i="4"/>
  <c r="C38" i="4"/>
  <c r="K37" i="4"/>
  <c r="J37" i="4"/>
  <c r="I37" i="4"/>
  <c r="H37" i="4"/>
  <c r="F37" i="4"/>
  <c r="E37" i="4"/>
  <c r="D37" i="4"/>
  <c r="C37" i="4"/>
  <c r="H16" i="4"/>
  <c r="K17" i="4"/>
  <c r="J17" i="4"/>
  <c r="I17" i="4"/>
  <c r="H17" i="4"/>
  <c r="K16" i="4"/>
  <c r="J16" i="4"/>
  <c r="I16" i="4"/>
  <c r="D16" i="4"/>
  <c r="E16" i="4"/>
  <c r="F16" i="4"/>
  <c r="D17" i="4"/>
  <c r="E17" i="4"/>
  <c r="F17" i="4"/>
  <c r="C17" i="4"/>
  <c r="C16" i="4"/>
  <c r="O16" i="5" l="1"/>
  <c r="N38" i="6"/>
  <c r="M39" i="6"/>
  <c r="AH272" i="2"/>
  <c r="AI272" i="2" s="1"/>
  <c r="J160" i="2"/>
  <c r="K160" i="2" s="1"/>
  <c r="P16" i="5"/>
  <c r="O38" i="6"/>
  <c r="AH184" i="2"/>
  <c r="AI184" i="2" s="1"/>
  <c r="AH178" i="2"/>
  <c r="AI178" i="2" s="1"/>
  <c r="U178" i="2"/>
  <c r="V178" i="2" s="1"/>
  <c r="J154" i="2"/>
  <c r="K154" i="2" s="1"/>
  <c r="P39" i="5"/>
  <c r="P16" i="6"/>
  <c r="P38" i="6"/>
  <c r="O95" i="4"/>
  <c r="M38" i="5"/>
  <c r="P39" i="6"/>
  <c r="M94" i="4"/>
  <c r="M95" i="4"/>
  <c r="O16" i="4"/>
  <c r="P95" i="4"/>
  <c r="N17" i="4"/>
  <c r="N95" i="4"/>
  <c r="U192" i="2"/>
  <c r="V192" i="2" s="1"/>
  <c r="J168" i="2"/>
  <c r="K168" i="2" s="1"/>
  <c r="AH192" i="2"/>
  <c r="AI192" i="2" s="1"/>
  <c r="U188" i="2"/>
  <c r="V188" i="2" s="1"/>
  <c r="J164" i="2"/>
  <c r="K164" i="2" s="1"/>
  <c r="AH188" i="2"/>
  <c r="AI188" i="2" s="1"/>
  <c r="J170" i="2"/>
  <c r="K170" i="2" s="1"/>
  <c r="AH194" i="2"/>
  <c r="AI194" i="2" s="1"/>
  <c r="U194" i="2"/>
  <c r="V194" i="2" s="1"/>
  <c r="J166" i="2"/>
  <c r="K166" i="2" s="1"/>
  <c r="U190" i="2"/>
  <c r="V190" i="2" s="1"/>
  <c r="AH190" i="2"/>
  <c r="AI190" i="2" s="1"/>
  <c r="AH268" i="2"/>
  <c r="AI268" i="2" s="1"/>
  <c r="U268" i="2"/>
  <c r="V268" i="2" s="1"/>
  <c r="AH182" i="2"/>
  <c r="AI182" i="2" s="1"/>
  <c r="U182" i="2"/>
  <c r="V182" i="2" s="1"/>
  <c r="J158" i="2"/>
  <c r="K158" i="2" s="1"/>
  <c r="AH280" i="2"/>
  <c r="AI280" i="2" s="1"/>
  <c r="U280" i="2"/>
  <c r="V280" i="2" s="1"/>
  <c r="AH278" i="2"/>
  <c r="AI278" i="2" s="1"/>
  <c r="U278" i="2"/>
  <c r="V278" i="2" s="1"/>
  <c r="AH276" i="2"/>
  <c r="AI276" i="2" s="1"/>
  <c r="U276" i="2"/>
  <c r="V276" i="2" s="1"/>
  <c r="AH274" i="2"/>
  <c r="AI274" i="2" s="1"/>
  <c r="U274" i="2"/>
  <c r="V274" i="2" s="1"/>
  <c r="U17" i="7"/>
  <c r="U18" i="7"/>
  <c r="AH266" i="2" s="1"/>
  <c r="AI266" i="2" s="1"/>
  <c r="V17" i="7"/>
  <c r="M16" i="6"/>
  <c r="N17" i="6"/>
  <c r="O17" i="6"/>
  <c r="P17" i="6"/>
  <c r="M17" i="6"/>
  <c r="O16" i="6"/>
  <c r="N16" i="6"/>
  <c r="P17" i="5"/>
  <c r="P38" i="5"/>
  <c r="O38" i="5"/>
  <c r="N38" i="5"/>
  <c r="M39" i="5"/>
  <c r="O17" i="5"/>
  <c r="N17" i="5"/>
  <c r="M17" i="5"/>
  <c r="N16" i="5"/>
  <c r="P61" i="4"/>
  <c r="M60" i="4"/>
  <c r="U154" i="2" s="1"/>
  <c r="V154" i="2" s="1"/>
  <c r="N94" i="4"/>
  <c r="O94" i="4"/>
  <c r="M16" i="4"/>
  <c r="O38" i="4"/>
  <c r="P16" i="4"/>
  <c r="N38" i="4"/>
  <c r="P94" i="4"/>
  <c r="O17" i="4"/>
  <c r="P37" i="4"/>
  <c r="N16" i="4"/>
  <c r="P17" i="4"/>
  <c r="O61" i="4"/>
  <c r="N61" i="4"/>
  <c r="M61" i="4"/>
  <c r="P60" i="4"/>
  <c r="O60" i="4"/>
  <c r="M17" i="4"/>
  <c r="P38" i="4"/>
  <c r="M38" i="4"/>
  <c r="O37" i="4"/>
  <c r="N37" i="4"/>
  <c r="M37" i="4"/>
  <c r="S268" i="2"/>
  <c r="H64" i="11" s="1"/>
  <c r="S264" i="2"/>
  <c r="S262" i="2"/>
  <c r="S260" i="2"/>
  <c r="S240" i="2"/>
  <c r="S224" i="2"/>
  <c r="S220" i="2"/>
  <c r="H127" i="2"/>
  <c r="H125" i="2"/>
  <c r="H123" i="2"/>
  <c r="H121" i="2"/>
  <c r="H119" i="2"/>
  <c r="H117" i="2"/>
  <c r="AM74" i="1"/>
  <c r="AM72" i="1"/>
  <c r="AG74" i="1"/>
  <c r="AG72" i="1"/>
  <c r="AA74" i="1"/>
  <c r="AA72" i="1"/>
  <c r="U74" i="1"/>
  <c r="U72" i="1"/>
  <c r="O74" i="1"/>
  <c r="O72" i="1"/>
  <c r="I74" i="1"/>
  <c r="I72" i="1"/>
  <c r="C72" i="1"/>
  <c r="F78" i="2"/>
  <c r="C108" i="2"/>
  <c r="C27" i="11" s="1"/>
  <c r="F74" i="2"/>
  <c r="F82" i="2"/>
  <c r="F76" i="2"/>
  <c r="F72" i="2"/>
  <c r="C17" i="11" s="1"/>
  <c r="F70" i="2"/>
  <c r="F68" i="2"/>
  <c r="F80" i="2" s="1"/>
  <c r="AM70" i="1"/>
  <c r="AM68" i="1"/>
  <c r="AM66" i="1"/>
  <c r="AM64" i="1"/>
  <c r="AM76" i="1" s="1"/>
  <c r="AM62" i="1"/>
  <c r="AG70" i="1"/>
  <c r="AG68" i="1"/>
  <c r="AG66" i="1"/>
  <c r="AG64" i="1"/>
  <c r="AG76" i="1" s="1"/>
  <c r="AG62" i="1"/>
  <c r="AA70" i="1"/>
  <c r="AA68" i="1"/>
  <c r="AA76" i="1" s="1"/>
  <c r="AA66" i="1"/>
  <c r="AA64" i="1"/>
  <c r="AA62" i="1"/>
  <c r="U70" i="1"/>
  <c r="U68" i="1"/>
  <c r="U66" i="1"/>
  <c r="U64" i="1"/>
  <c r="U76" i="1" s="1"/>
  <c r="U62" i="1"/>
  <c r="O70" i="1"/>
  <c r="O68" i="1"/>
  <c r="O66" i="1"/>
  <c r="O64" i="1"/>
  <c r="O76" i="1" s="1"/>
  <c r="O62" i="1"/>
  <c r="I70" i="1"/>
  <c r="I68" i="1"/>
  <c r="I66" i="1"/>
  <c r="I64" i="1"/>
  <c r="I62" i="1"/>
  <c r="C70" i="1"/>
  <c r="C68" i="1"/>
  <c r="C74" i="1"/>
  <c r="C64" i="1"/>
  <c r="C62" i="1"/>
  <c r="I76" i="1" l="1"/>
  <c r="H56" i="11"/>
  <c r="H60" i="11"/>
  <c r="AH262" i="2"/>
  <c r="AI262" i="2" s="1"/>
  <c r="O60" i="11" s="1"/>
  <c r="U262" i="2"/>
  <c r="V262" i="2" s="1"/>
  <c r="U266" i="2"/>
  <c r="V266" i="2" s="1"/>
  <c r="AH154" i="2"/>
  <c r="AI154" i="2" s="1"/>
  <c r="J152" i="2"/>
  <c r="K152" i="2" s="1"/>
  <c r="E43" i="11" s="1"/>
  <c r="U176" i="2"/>
  <c r="V176" i="2" s="1"/>
  <c r="J43" i="11" s="1"/>
  <c r="AH176" i="2"/>
  <c r="AI176" i="2" s="1"/>
  <c r="O43" i="11" s="1"/>
  <c r="C15" i="11"/>
  <c r="D8" i="9"/>
  <c r="D15" i="9" s="1"/>
  <c r="F8" i="9"/>
  <c r="E8" i="9"/>
  <c r="C8" i="9"/>
  <c r="J142" i="2"/>
  <c r="K142" i="2" s="1"/>
  <c r="AH264" i="2"/>
  <c r="AI264" i="2" s="1"/>
  <c r="U264" i="2"/>
  <c r="V264" i="2" s="1"/>
  <c r="AH260" i="2"/>
  <c r="AI260" i="2" s="1"/>
  <c r="O58" i="11" s="1"/>
  <c r="U260" i="2"/>
  <c r="V260" i="2" s="1"/>
  <c r="J58" i="11" s="1"/>
  <c r="AH174" i="2"/>
  <c r="AI174" i="2" s="1"/>
  <c r="J150" i="2"/>
  <c r="K150" i="2" s="1"/>
  <c r="E41" i="11" s="1"/>
  <c r="U174" i="2"/>
  <c r="V174" i="2" s="1"/>
  <c r="J41" i="11" s="1"/>
  <c r="AH166" i="2"/>
  <c r="AI166" i="2" s="1"/>
  <c r="J146" i="2"/>
  <c r="K146" i="2" s="1"/>
  <c r="U166" i="2"/>
  <c r="V166" i="2" s="1"/>
  <c r="AH170" i="2"/>
  <c r="AI170" i="2" s="1"/>
  <c r="AH158" i="2"/>
  <c r="AI158" i="2" s="1"/>
  <c r="U162" i="2"/>
  <c r="V162" i="2" s="1"/>
  <c r="U158" i="2"/>
  <c r="V158" i="2" s="1"/>
  <c r="AH162" i="2"/>
  <c r="AI162" i="2" s="1"/>
  <c r="U170" i="2"/>
  <c r="V170" i="2" s="1"/>
  <c r="AH160" i="2"/>
  <c r="AI160" i="2" s="1"/>
  <c r="U164" i="2"/>
  <c r="V164" i="2" s="1"/>
  <c r="AH164" i="2"/>
  <c r="AI164" i="2" s="1"/>
  <c r="U160" i="2"/>
  <c r="V160" i="2" s="1"/>
  <c r="AH168" i="2"/>
  <c r="AI168" i="2" s="1"/>
  <c r="U172" i="2"/>
  <c r="V172" i="2" s="1"/>
  <c r="AH172" i="2"/>
  <c r="AI172" i="2" s="1"/>
  <c r="J148" i="2"/>
  <c r="K148" i="2" s="1"/>
  <c r="U168" i="2"/>
  <c r="V168" i="2" s="1"/>
  <c r="AH136" i="2"/>
  <c r="AI136" i="2" s="1"/>
  <c r="J136" i="2"/>
  <c r="K136" i="2" s="1"/>
  <c r="U136" i="2"/>
  <c r="V136" i="2" s="1"/>
  <c r="AH248" i="2"/>
  <c r="AI248" i="2" s="1"/>
  <c r="AH252" i="2"/>
  <c r="AI252" i="2" s="1"/>
  <c r="AH244" i="2"/>
  <c r="AI244" i="2" s="1"/>
  <c r="AH256" i="2"/>
  <c r="AI256" i="2" s="1"/>
  <c r="U252" i="2"/>
  <c r="V252" i="2" s="1"/>
  <c r="U244" i="2"/>
  <c r="V244" i="2" s="1"/>
  <c r="U256" i="2"/>
  <c r="V256" i="2" s="1"/>
  <c r="U248" i="2"/>
  <c r="V248" i="2" s="1"/>
  <c r="AH220" i="2"/>
  <c r="AI220" i="2" s="1"/>
  <c r="U220" i="2"/>
  <c r="V220" i="2" s="1"/>
  <c r="AH222" i="2"/>
  <c r="AI222" i="2" s="1"/>
  <c r="U222" i="2"/>
  <c r="V222" i="2" s="1"/>
  <c r="AH258" i="2"/>
  <c r="AI258" i="2" s="1"/>
  <c r="AH246" i="2"/>
  <c r="AI246" i="2" s="1"/>
  <c r="AH250" i="2"/>
  <c r="AI250" i="2" s="1"/>
  <c r="AH254" i="2"/>
  <c r="AI254" i="2" s="1"/>
  <c r="U254" i="2"/>
  <c r="V254" i="2" s="1"/>
  <c r="U246" i="2"/>
  <c r="V246" i="2" s="1"/>
  <c r="U250" i="2"/>
  <c r="V250" i="2" s="1"/>
  <c r="U258" i="2"/>
  <c r="V258" i="2" s="1"/>
  <c r="J134" i="2"/>
  <c r="K134" i="2" s="1"/>
  <c r="U134" i="2"/>
  <c r="V134" i="2" s="1"/>
  <c r="AH134" i="2"/>
  <c r="AI134" i="2" s="1"/>
  <c r="U150" i="2"/>
  <c r="V150" i="2" s="1"/>
  <c r="AH142" i="2"/>
  <c r="AI142" i="2" s="1"/>
  <c r="AH150" i="2"/>
  <c r="AI150" i="2" s="1"/>
  <c r="O41" i="11" s="1"/>
  <c r="U146" i="2"/>
  <c r="V146" i="2" s="1"/>
  <c r="AH138" i="2"/>
  <c r="AI138" i="2" s="1"/>
  <c r="AH146" i="2"/>
  <c r="AI146" i="2" s="1"/>
  <c r="J138" i="2"/>
  <c r="K138" i="2" s="1"/>
  <c r="U142" i="2"/>
  <c r="V142" i="2" s="1"/>
  <c r="U138" i="2"/>
  <c r="V138" i="2" s="1"/>
  <c r="AH234" i="2"/>
  <c r="AI234" i="2" s="1"/>
  <c r="AH238" i="2"/>
  <c r="AI238" i="2" s="1"/>
  <c r="AH230" i="2"/>
  <c r="AI230" i="2" s="1"/>
  <c r="AH226" i="2"/>
  <c r="AI226" i="2" s="1"/>
  <c r="U230" i="2"/>
  <c r="V230" i="2" s="1"/>
  <c r="U238" i="2"/>
  <c r="V238" i="2" s="1"/>
  <c r="U234" i="2"/>
  <c r="V234" i="2" s="1"/>
  <c r="U226" i="2"/>
  <c r="V226" i="2" s="1"/>
  <c r="AH240" i="2"/>
  <c r="AI240" i="2" s="1"/>
  <c r="U240" i="2"/>
  <c r="V240" i="2" s="1"/>
  <c r="AH148" i="2"/>
  <c r="AI148" i="2" s="1"/>
  <c r="J140" i="2"/>
  <c r="K140" i="2" s="1"/>
  <c r="U148" i="2"/>
  <c r="V148" i="2" s="1"/>
  <c r="U140" i="2"/>
  <c r="V140" i="2" s="1"/>
  <c r="AH152" i="2"/>
  <c r="AI152" i="2" s="1"/>
  <c r="AH140" i="2"/>
  <c r="AI140" i="2" s="1"/>
  <c r="U144" i="2"/>
  <c r="V144" i="2" s="1"/>
  <c r="AH144" i="2"/>
  <c r="AI144" i="2" s="1"/>
  <c r="U152" i="2"/>
  <c r="V152" i="2" s="1"/>
  <c r="J144" i="2"/>
  <c r="K144" i="2" s="1"/>
  <c r="AH156" i="2"/>
  <c r="AI156" i="2" s="1"/>
  <c r="U156" i="2"/>
  <c r="V156" i="2" s="1"/>
  <c r="AH242" i="2"/>
  <c r="AI242" i="2" s="1"/>
  <c r="U242" i="2"/>
  <c r="V242" i="2" s="1"/>
  <c r="AH228" i="2"/>
  <c r="AI228" i="2" s="1"/>
  <c r="AH232" i="2"/>
  <c r="AI232" i="2" s="1"/>
  <c r="AH236" i="2"/>
  <c r="AI236" i="2" s="1"/>
  <c r="AH224" i="2"/>
  <c r="AI224" i="2" s="1"/>
  <c r="U224" i="2"/>
  <c r="V224" i="2" s="1"/>
  <c r="U236" i="2"/>
  <c r="V236" i="2" s="1"/>
  <c r="U228" i="2"/>
  <c r="V228" i="2" s="1"/>
  <c r="U232" i="2"/>
  <c r="V232" i="2" s="1"/>
  <c r="AH180" i="2"/>
  <c r="AI180" i="2" s="1"/>
  <c r="U180" i="2"/>
  <c r="V180" i="2" s="1"/>
  <c r="J45" i="11" s="1"/>
  <c r="J156" i="2"/>
  <c r="K156" i="2" s="1"/>
  <c r="E45" i="11" s="1"/>
  <c r="J64" i="11"/>
  <c r="O64" i="11"/>
  <c r="J66" i="11"/>
  <c r="O66" i="11"/>
  <c r="H58" i="11"/>
  <c r="C13" i="11"/>
  <c r="F112" i="2"/>
  <c r="AF284" i="2" s="1"/>
  <c r="C19" i="11"/>
  <c r="C76" i="1"/>
  <c r="F15" i="9"/>
  <c r="E15" i="9"/>
  <c r="C15" i="9"/>
  <c r="H101" i="2"/>
  <c r="F84" i="2"/>
  <c r="F106" i="2"/>
  <c r="H129" i="2" s="1"/>
  <c r="F129" i="2" s="1"/>
  <c r="F108" i="2"/>
  <c r="F110" i="2"/>
  <c r="O72" i="11" l="1"/>
  <c r="O51" i="11"/>
  <c r="E51" i="11"/>
  <c r="J72" i="11"/>
  <c r="J51" i="11"/>
  <c r="J60" i="11"/>
  <c r="S284" i="2"/>
  <c r="Q284" i="2" s="1"/>
  <c r="AD211" i="2"/>
  <c r="Q211" i="2"/>
  <c r="O62" i="11"/>
  <c r="J62" i="11"/>
  <c r="O45" i="11"/>
  <c r="O56" i="11"/>
  <c r="E39" i="11"/>
  <c r="O39" i="11"/>
  <c r="J56" i="11"/>
  <c r="J39" i="11"/>
  <c r="E27" i="11"/>
  <c r="AF198" i="2"/>
  <c r="AD198" i="2" s="1"/>
  <c r="H174" i="2"/>
  <c r="F174" i="2" s="1"/>
  <c r="S198" i="2"/>
  <c r="Q198" i="2" s="1"/>
  <c r="E31" i="11"/>
  <c r="AD284" i="2"/>
  <c r="E29" i="11"/>
  <c r="Q129" i="2"/>
  <c r="J129" i="2"/>
  <c r="C62" i="9"/>
  <c r="C61" i="9"/>
  <c r="C60" i="9"/>
  <c r="C63" i="9"/>
  <c r="D60" i="9"/>
  <c r="D62" i="9"/>
  <c r="D61" i="9"/>
  <c r="D63" i="9"/>
  <c r="E60" i="9"/>
  <c r="E63" i="9"/>
  <c r="E61" i="9"/>
  <c r="E62" i="9"/>
  <c r="F61" i="9"/>
  <c r="F63" i="9"/>
  <c r="F62" i="9"/>
  <c r="F60" i="9"/>
  <c r="D64" i="9" l="1"/>
  <c r="E36" i="9"/>
  <c r="C37" i="9"/>
  <c r="C40" i="9"/>
  <c r="D35" i="9"/>
  <c r="C34" i="9"/>
  <c r="C43" i="9"/>
  <c r="D37" i="9"/>
  <c r="D39" i="9"/>
  <c r="E39" i="9"/>
  <c r="E42" i="9"/>
  <c r="E43" i="9"/>
  <c r="D34" i="9"/>
  <c r="D40" i="9"/>
  <c r="D43" i="9"/>
  <c r="D36" i="9"/>
  <c r="D42" i="9"/>
  <c r="C38" i="9"/>
  <c r="D38" i="9"/>
  <c r="C41" i="9"/>
  <c r="E35" i="9"/>
  <c r="D55" i="9"/>
  <c r="E55" i="9" s="1"/>
  <c r="C64" i="9"/>
  <c r="C39" i="9"/>
  <c r="E40" i="9"/>
  <c r="C35" i="9"/>
  <c r="E34" i="9"/>
  <c r="C36" i="9"/>
  <c r="E41" i="9"/>
  <c r="E37" i="9"/>
  <c r="D54" i="9"/>
  <c r="E38" i="9"/>
  <c r="C42" i="9"/>
  <c r="D41" i="9"/>
  <c r="F64" i="9"/>
  <c r="E64" i="9"/>
  <c r="C90" i="2" l="1"/>
  <c r="E54" i="9"/>
  <c r="G64" i="9"/>
  <c r="K34" i="9"/>
  <c r="L39" i="9"/>
  <c r="K35" i="9"/>
  <c r="L34" i="9"/>
  <c r="M34" i="9"/>
  <c r="M35" i="9"/>
  <c r="L38" i="9"/>
  <c r="M37" i="9"/>
  <c r="M41" i="9"/>
  <c r="K36" i="9"/>
  <c r="K41" i="9"/>
  <c r="K37" i="9"/>
  <c r="L40" i="9"/>
  <c r="K39" i="9"/>
  <c r="K42" i="9"/>
  <c r="M38" i="9"/>
  <c r="M43" i="9"/>
  <c r="M39" i="9"/>
  <c r="K43" i="9"/>
  <c r="K38" i="9"/>
  <c r="M40" i="9"/>
  <c r="L43" i="9"/>
  <c r="L41" i="9"/>
  <c r="L36" i="9"/>
  <c r="L42" i="9"/>
  <c r="L35" i="9"/>
  <c r="L37" i="9"/>
  <c r="M42" i="9"/>
  <c r="M36" i="9"/>
  <c r="K40" i="9"/>
  <c r="H47" i="11" l="1"/>
  <c r="M68" i="11"/>
  <c r="C47" i="11"/>
  <c r="H68" i="11"/>
  <c r="M47" i="11"/>
  <c r="H39" i="9"/>
  <c r="AH296" i="2" s="1"/>
  <c r="I36" i="9"/>
  <c r="H37" i="9"/>
  <c r="U292" i="2" s="1"/>
  <c r="I42" i="9"/>
  <c r="I35" i="9"/>
  <c r="H38" i="9"/>
  <c r="U294" i="2" s="1"/>
  <c r="I40" i="9"/>
  <c r="G39" i="9"/>
  <c r="G35" i="9"/>
  <c r="G37" i="9"/>
  <c r="H42" i="9"/>
  <c r="U302" i="2" s="1"/>
  <c r="G42" i="9"/>
  <c r="H34" i="9"/>
  <c r="U200" i="2" s="1"/>
  <c r="I39" i="9"/>
  <c r="G43" i="9"/>
  <c r="I41" i="9"/>
  <c r="G34" i="9"/>
  <c r="H36" i="9"/>
  <c r="U290" i="2" s="1"/>
  <c r="G36" i="9"/>
  <c r="I43" i="9"/>
  <c r="I37" i="9"/>
  <c r="H43" i="9"/>
  <c r="U304" i="2" s="1"/>
  <c r="G38" i="9"/>
  <c r="I34" i="9"/>
  <c r="I38" i="9"/>
  <c r="H40" i="9"/>
  <c r="AH298" i="2" s="1"/>
  <c r="G40" i="9"/>
  <c r="H35" i="9"/>
  <c r="J178" i="2" s="1"/>
  <c r="G41" i="9"/>
  <c r="H41" i="9"/>
  <c r="AH300" i="2" s="1"/>
  <c r="Q200" i="2"/>
  <c r="Q286" i="2" s="1"/>
  <c r="F176" i="2"/>
  <c r="AD200" i="2"/>
  <c r="AD286" i="2" s="1"/>
  <c r="AH200" i="2" l="1"/>
  <c r="U204" i="2"/>
  <c r="AH304" i="2"/>
  <c r="AH204" i="2"/>
  <c r="U296" i="2"/>
  <c r="J180" i="2"/>
  <c r="J176" i="2"/>
  <c r="U286" i="2"/>
  <c r="AH294" i="2"/>
  <c r="AH288" i="2"/>
  <c r="AH286" i="2"/>
  <c r="U288" i="2"/>
  <c r="U202" i="2"/>
  <c r="U298" i="2"/>
  <c r="U300" i="2"/>
  <c r="AH292" i="2"/>
  <c r="AH202" i="2"/>
  <c r="AH302" i="2"/>
  <c r="AH290" i="2"/>
  <c r="AF286" i="2"/>
  <c r="S286" i="2"/>
  <c r="V286" i="2" s="1"/>
  <c r="S200" i="2"/>
  <c r="V200" i="2" s="1"/>
  <c r="Q202" i="2"/>
  <c r="S202" i="2" s="1"/>
  <c r="V202" i="2" s="1"/>
  <c r="F178" i="2"/>
  <c r="H178" i="2" s="1"/>
  <c r="K178" i="2" s="1"/>
  <c r="H176" i="2"/>
  <c r="AF200" i="2"/>
  <c r="AI200" i="2" s="1"/>
  <c r="AD202" i="2"/>
  <c r="AF202" i="2" s="1"/>
  <c r="AI202" i="2" s="1"/>
  <c r="K176" i="2" l="1"/>
  <c r="AI286" i="2"/>
  <c r="Q288" i="2"/>
  <c r="AD288" i="2"/>
  <c r="Q204" i="2"/>
  <c r="S204" i="2" s="1"/>
  <c r="V204" i="2" s="1"/>
  <c r="J47" i="11" s="1"/>
  <c r="F180" i="2"/>
  <c r="H180" i="2" s="1"/>
  <c r="K180" i="2" s="1"/>
  <c r="K182" i="2" s="1"/>
  <c r="E49" i="11" s="1"/>
  <c r="AD204" i="2"/>
  <c r="AF204" i="2" s="1"/>
  <c r="AI204" i="2" s="1"/>
  <c r="O47" i="11" s="1"/>
  <c r="AI206" i="2" l="1"/>
  <c r="O49" i="11" s="1"/>
  <c r="V206" i="2"/>
  <c r="J49" i="11" s="1"/>
  <c r="E47" i="11"/>
  <c r="AF288" i="2"/>
  <c r="AI288" i="2" s="1"/>
  <c r="AD290" i="2"/>
  <c r="AF290" i="2" s="1"/>
  <c r="AI290" i="2" s="1"/>
  <c r="S288" i="2"/>
  <c r="V288" i="2" s="1"/>
  <c r="Q290" i="2"/>
  <c r="S290" i="2" s="1"/>
  <c r="V290" i="2" s="1"/>
  <c r="AD292" i="2" l="1"/>
  <c r="AF292" i="2" s="1"/>
  <c r="AI292" i="2" s="1"/>
  <c r="Q292" i="2"/>
  <c r="AD294" i="2" l="1"/>
  <c r="AF294" i="2" s="1"/>
  <c r="AI294" i="2" s="1"/>
  <c r="S292" i="2"/>
  <c r="V292" i="2" s="1"/>
  <c r="Q294" i="2"/>
  <c r="AD296" i="2" l="1"/>
  <c r="AF296" i="2" s="1"/>
  <c r="AI296" i="2" s="1"/>
  <c r="Q296" i="2"/>
  <c r="S294" i="2"/>
  <c r="V294" i="2" s="1"/>
  <c r="AD298" i="2" l="1"/>
  <c r="AF298" i="2" s="1"/>
  <c r="AI298" i="2" s="1"/>
  <c r="S296" i="2"/>
  <c r="V296" i="2" s="1"/>
  <c r="Q298" i="2"/>
  <c r="S298" i="2" s="1"/>
  <c r="V298" i="2" s="1"/>
  <c r="AD300" i="2" l="1"/>
  <c r="AF300" i="2" s="1"/>
  <c r="AI300" i="2" s="1"/>
  <c r="Q300" i="2"/>
  <c r="S300" i="2" s="1"/>
  <c r="V300" i="2" s="1"/>
  <c r="AD302" i="2" l="1"/>
  <c r="AF302" i="2" s="1"/>
  <c r="AI302" i="2" s="1"/>
  <c r="Q302" i="2"/>
  <c r="S302" i="2" s="1"/>
  <c r="V302" i="2" s="1"/>
  <c r="AD304" i="2" l="1"/>
  <c r="AF304" i="2" s="1"/>
  <c r="AI304" i="2" s="1"/>
  <c r="O68" i="11" s="1"/>
  <c r="Q304" i="2"/>
  <c r="S304" i="2" s="1"/>
  <c r="V304" i="2" s="1"/>
  <c r="J68" i="11" s="1"/>
  <c r="AI306" i="2" l="1"/>
  <c r="O70" i="11" s="1"/>
  <c r="V306" i="2"/>
  <c r="J70" i="11" s="1"/>
</calcChain>
</file>

<file path=xl/sharedStrings.xml><?xml version="1.0" encoding="utf-8"?>
<sst xmlns="http://schemas.openxmlformats.org/spreadsheetml/2006/main" count="1867" uniqueCount="329">
  <si>
    <t>Vinterhvede</t>
  </si>
  <si>
    <t>Vinterbyg</t>
  </si>
  <si>
    <t>Vinterrug/Triticale</t>
  </si>
  <si>
    <t>Vinterraps</t>
  </si>
  <si>
    <t>Hestebønner/markært</t>
  </si>
  <si>
    <t>Frøgræs 1. år</t>
  </si>
  <si>
    <t>Frøgræs 2.-3. år</t>
  </si>
  <si>
    <t>Kartofler</t>
  </si>
  <si>
    <t>Majshelsæd</t>
  </si>
  <si>
    <t>Vårkorn som grønkorn/helsæd</t>
  </si>
  <si>
    <t>Vinterkorn som grønkorn/helsæd</t>
  </si>
  <si>
    <t>Kløvergræs/græs i omdrift 1. år</t>
  </si>
  <si>
    <t>Kløvergræs/græs i omdrift, 2.-5. år</t>
  </si>
  <si>
    <t>Permanent græs i omdrift</t>
  </si>
  <si>
    <t>Græs og andet uden for omdrift</t>
  </si>
  <si>
    <t>Hektar</t>
  </si>
  <si>
    <t>Udbytte</t>
  </si>
  <si>
    <t>Pris</t>
  </si>
  <si>
    <t>Areal</t>
  </si>
  <si>
    <t>Kernemajs</t>
  </si>
  <si>
    <t>Havre og andet vårkorn</t>
  </si>
  <si>
    <t>Braklagt/bræmmer mv. i omdrift</t>
  </si>
  <si>
    <t>Vår-frøafgrøder bredbladet</t>
  </si>
  <si>
    <t>hkg/ha</t>
  </si>
  <si>
    <t>kr./hkg</t>
  </si>
  <si>
    <t>ha</t>
  </si>
  <si>
    <t>Vårbyg, foderkorn</t>
  </si>
  <si>
    <t>Vårbyg, malt</t>
  </si>
  <si>
    <t>Andet flerårigt i omdrift</t>
  </si>
  <si>
    <t>Dyrket areal i alt, ha</t>
  </si>
  <si>
    <t>Dyrket areal i omdrift i alt, ha</t>
  </si>
  <si>
    <t>Andet etårigt vårsået i omdrift</t>
  </si>
  <si>
    <t>Andet etårigt efterårssået i omdrift</t>
  </si>
  <si>
    <t>Overvintrende afgrøder i omdrift, ha</t>
  </si>
  <si>
    <t>Vinterkorn og raps efterår, ha</t>
  </si>
  <si>
    <t>Græsudlæg efterår, ha</t>
  </si>
  <si>
    <t>Fodergræs i omdrift efterår, ha</t>
  </si>
  <si>
    <t>Organisk gødning, kg N pr. ha</t>
  </si>
  <si>
    <t>Afgrøder</t>
  </si>
  <si>
    <t>Efterafgrødegrundareal, ha</t>
  </si>
  <si>
    <t>Ledigt areal til efterafgrøder, ha</t>
  </si>
  <si>
    <t>Kravberegning</t>
  </si>
  <si>
    <t>Dokumentation af hidtidig dyrkningspraksis og udbytter i korn</t>
  </si>
  <si>
    <t>Afgrødesammensætningen vælges, så sædskiftet kan dyrkes kontinuert.</t>
  </si>
  <si>
    <t>Uden målrettede efterafgrøder</t>
  </si>
  <si>
    <t>MFO</t>
  </si>
  <si>
    <t>MFO (5% af omdriftsareal), ha</t>
  </si>
  <si>
    <t>%</t>
  </si>
  <si>
    <t>Pligtige efterafgrøder, ha</t>
  </si>
  <si>
    <t>Græsefterafgrøder (kvægundtagelse)</t>
  </si>
  <si>
    <t>Græsefterafgfrøder (kvægundtagelse)</t>
  </si>
  <si>
    <t>Husdyrefterafgrøder, ha</t>
  </si>
  <si>
    <t>Målrettede efterafgrøder, ha</t>
  </si>
  <si>
    <t>Græs- og græsefterafgr. (kvæg), %</t>
  </si>
  <si>
    <t>Sukkerroer/foderrroer</t>
  </si>
  <si>
    <t>Sukkerroer/foderroer</t>
  </si>
  <si>
    <t>MFO-bræmme</t>
  </si>
  <si>
    <t>MFO-bestøverbrak</t>
  </si>
  <si>
    <t>MFO-slåningsbrak</t>
  </si>
  <si>
    <t>MFO-blomsterbrak</t>
  </si>
  <si>
    <t>MFO-græsudlæg</t>
  </si>
  <si>
    <t>Rest som MFO-efterafgrøde</t>
  </si>
  <si>
    <t>Faktor</t>
  </si>
  <si>
    <t>Tæller</t>
  </si>
  <si>
    <t>GLM-landskabselement</t>
  </si>
  <si>
    <t>Pligtige og husdyrefterafgrøder</t>
  </si>
  <si>
    <t>Brak langs vandløb og søer</t>
  </si>
  <si>
    <t>Tidlig såning af vintersæd</t>
  </si>
  <si>
    <t>JB1 + JB3 (uvandet)</t>
  </si>
  <si>
    <t>JB2 + JB4 + JB11 + JB1-4 vandet</t>
  </si>
  <si>
    <t>JB5-6</t>
  </si>
  <si>
    <t>JB7-9</t>
  </si>
  <si>
    <t>Jordtypefordeling (omdrift)</t>
  </si>
  <si>
    <t>Potentialer til rest</t>
  </si>
  <si>
    <t>Efterafgrøde uden sædskifteændring</t>
  </si>
  <si>
    <t>Tidlig såning af 1. års vintersæd</t>
  </si>
  <si>
    <t>Mellemafgrøde efter vintersæd</t>
  </si>
  <si>
    <t>Mellemafgrøde efter frøgræs</t>
  </si>
  <si>
    <t>Nøgletal</t>
  </si>
  <si>
    <t>Efterafgrøder</t>
  </si>
  <si>
    <t>Udsæd</t>
  </si>
  <si>
    <t>Såning</t>
  </si>
  <si>
    <t>Tilskud</t>
  </si>
  <si>
    <t>Efterafgrøder efter vårsæd</t>
  </si>
  <si>
    <t>Eftervirkning N (obligatorisk)</t>
  </si>
  <si>
    <t>Merudbytte næste afgrøde</t>
  </si>
  <si>
    <t>Succerate etablering</t>
  </si>
  <si>
    <t>Sandjord</t>
  </si>
  <si>
    <t>Lerjord</t>
  </si>
  <si>
    <t>&lt;80 kg N</t>
  </si>
  <si>
    <t>&gt;80 kg N</t>
  </si>
  <si>
    <t>Omkostninger uden tilskud</t>
  </si>
  <si>
    <t>Omkostninger inkl. tilskud</t>
  </si>
  <si>
    <t>8 kg sildig rajgræs a 20 kr.</t>
  </si>
  <si>
    <t>Radsåning/evt. frøsåkasse</t>
  </si>
  <si>
    <t>Henholsvis 17 og 25 kg N a 6 kr.</t>
  </si>
  <si>
    <t>2 hkg/ha på sandjord. 0 hkg på lerjord.</t>
  </si>
  <si>
    <t>5 pct. etableres uden efterafgrøden lykkes.</t>
  </si>
  <si>
    <t>Gældende tilskud 2020 og 2021.</t>
  </si>
  <si>
    <t>Forudsætninger (standard):</t>
  </si>
  <si>
    <t>Forudsætninger (egne):</t>
  </si>
  <si>
    <t>Standard</t>
  </si>
  <si>
    <t>Egne forudsætninger</t>
  </si>
  <si>
    <t>Egne forudsætninger for omkostninger ved virkemidler kan indsættes.</t>
  </si>
  <si>
    <t>Alle poster skal angives, hvis der anvendes egne forudsætninger. Et positivt tal angiver en omkostning. Et negativt tal er en indtægt.</t>
  </si>
  <si>
    <t>Efterafgrøder efter vintersæd</t>
  </si>
  <si>
    <t>10 kg olieræddike a 24 kr.</t>
  </si>
  <si>
    <t>Såning efter høst</t>
  </si>
  <si>
    <t>Efterafgrøder i majs</t>
  </si>
  <si>
    <t>Ukrudtsbekæmpelse (ekstra)</t>
  </si>
  <si>
    <t>Udbyttetab i majsen (1 ae)</t>
  </si>
  <si>
    <t>8 kg rajgræs a 20 kr.</t>
  </si>
  <si>
    <t>Såning samtidig med radrensning</t>
  </si>
  <si>
    <t>JB 1+3</t>
  </si>
  <si>
    <t>JB 5-6</t>
  </si>
  <si>
    <t>JB 7-9</t>
  </si>
  <si>
    <t>Udbytteforskel</t>
  </si>
  <si>
    <t>Tabt DB ved sædskifteændring</t>
  </si>
  <si>
    <t>Erstatningskorn (merpris)</t>
  </si>
  <si>
    <t>Forskel i normudbytter</t>
  </si>
  <si>
    <t>Forskel i DB inkl. 30% af maskinomk.</t>
  </si>
  <si>
    <t>Ukrudtsbekæmpelse (ekstra omk.)</t>
  </si>
  <si>
    <t>Radrensning/Såning (ekstra omk.)</t>
  </si>
  <si>
    <t>Mellemafgrøder</t>
  </si>
  <si>
    <t>10-12 kg olieræddike/gul sennep a 24 kr.</t>
  </si>
  <si>
    <t>20 pct. etableres uden efterafgrøden lykkes.</t>
  </si>
  <si>
    <t>Spredning før høst (centrifugal)</t>
  </si>
  <si>
    <t>Plantedækket er etableret.</t>
  </si>
  <si>
    <t>100 pct.</t>
  </si>
  <si>
    <t>Pløjning</t>
  </si>
  <si>
    <t>Udbytteændring</t>
  </si>
  <si>
    <t>Lidt lavere udsædsmængde</t>
  </si>
  <si>
    <t>Evt. pløjning forud</t>
  </si>
  <si>
    <t xml:space="preserve">1. års vintersæd på arealer </t>
  </si>
  <si>
    <t>uden græsukrudt</t>
  </si>
  <si>
    <t>Lidt højere udbytte</t>
  </si>
  <si>
    <t>Vintersæd efter korn</t>
  </si>
  <si>
    <t>Braklægning langs vandløb og søer</t>
  </si>
  <si>
    <t>Gns. udbytte, hkg/ha</t>
  </si>
  <si>
    <t>Pleje af brakareal</t>
  </si>
  <si>
    <t>JB 2+4+11+vandet</t>
  </si>
  <si>
    <t>Tabt dækningsbidrag</t>
  </si>
  <si>
    <t>Omlægning hvert 5. år</t>
  </si>
  <si>
    <t>Erstatningskorn, merpris</t>
  </si>
  <si>
    <t>Husdyrgødning transsport (ekstra)</t>
  </si>
  <si>
    <t>Gns. tab af dækningsbidrag i vinterhvede og vårbyg inkl. 30% af maskinomk.</t>
  </si>
  <si>
    <t>Slåning 1 gang årligt</t>
  </si>
  <si>
    <t>Det forudsættes, at arealet omlægges hvert 5. år for at forblive i omdrift</t>
  </si>
  <si>
    <t>Erstatningskorn</t>
  </si>
  <si>
    <t>Merpris på 10 kr. pr. hkg ekstra, der købes</t>
  </si>
  <si>
    <t>Standard (kr. pr. ha)</t>
  </si>
  <si>
    <t>Egne forudsætninger (kr. pr. ha)</t>
  </si>
  <si>
    <t>Braklægning</t>
  </si>
  <si>
    <t>Der er taget udgangspunkt i braklægning af et sædskifte bestående af vinterbyg-vinterraps-vinterhvede-vinterhvede-vårbyg.</t>
  </si>
  <si>
    <t>Husdyrgødning transport (ekstra)</t>
  </si>
  <si>
    <t>JB 2+4</t>
  </si>
  <si>
    <t>Jordtypefordeling på bedriften (pct.)</t>
  </si>
  <si>
    <t>Hybridrug</t>
  </si>
  <si>
    <t>Vårbyg</t>
  </si>
  <si>
    <t>Kvotereduktion</t>
  </si>
  <si>
    <t>Afgrødefordeling på jordtyper (pct.)</t>
  </si>
  <si>
    <t>0-5 pct.</t>
  </si>
  <si>
    <t>5-10 pct.</t>
  </si>
  <si>
    <t>10-15 pct.</t>
  </si>
  <si>
    <t>15-20 pct.</t>
  </si>
  <si>
    <t>20-25 pct.</t>
  </si>
  <si>
    <t>25-30 pct.</t>
  </si>
  <si>
    <t>30-35 pct.</t>
  </si>
  <si>
    <t>35-40 pct.</t>
  </si>
  <si>
    <t>40-45 pct.</t>
  </si>
  <si>
    <t>45-50 pct.</t>
  </si>
  <si>
    <t>Udbytte og
protein</t>
  </si>
  <si>
    <t>Udbytte,
protein og
kornkøb</t>
  </si>
  <si>
    <t>Vårbyg/vårkorn</t>
  </si>
  <si>
    <t>Udbytte
protein</t>
  </si>
  <si>
    <t>Udbytte,
protein
kornkøb</t>
  </si>
  <si>
    <t xml:space="preserve">
JB 7-9</t>
  </si>
  <si>
    <t xml:space="preserve">
JB 5-6</t>
  </si>
  <si>
    <t>JB 2+4+11+vand</t>
  </si>
  <si>
    <t xml:space="preserve">
JB 1+3</t>
  </si>
  <si>
    <t>N-norm (netto efter fradrag af forfrugtsvirkning)</t>
  </si>
  <si>
    <t>Vægtning af jordtype og afgrøde</t>
  </si>
  <si>
    <t>Antal ha med 5 pct. kvotereduktion til 1 ha efterafgrødekrav</t>
  </si>
  <si>
    <t>Under 80 kg N/ha</t>
  </si>
  <si>
    <t>Over 80 kg N/ha</t>
  </si>
  <si>
    <t>Antal ha</t>
  </si>
  <si>
    <t>Efterafgrøde efter vårsæd - sandjord</t>
  </si>
  <si>
    <t>Efterafgrøde efter vårsæd - lerjord</t>
  </si>
  <si>
    <t>Pris
kr./ha</t>
  </si>
  <si>
    <t>Pris
Kr. i alt</t>
  </si>
  <si>
    <t>Efterafgrøde efter vintersæd før 21/8 - sandjord</t>
  </si>
  <si>
    <t>Efterafgrøde efter vintersæd før 21/8 - lerjord</t>
  </si>
  <si>
    <t>Efterafgrøde efter vintersæd 21/8-24/8 - sandjord</t>
  </si>
  <si>
    <t>Efterafgrøde efter vintersæd 21/8-24/8 - lerjord</t>
  </si>
  <si>
    <t>Efterafgrøde efter vintersæd 25/8-28/8 - sandjord</t>
  </si>
  <si>
    <t>Efterafgrøde efter vintersæd 25/8-28/9 - lerjord</t>
  </si>
  <si>
    <t>Efterafgrøde i majs - sandjord</t>
  </si>
  <si>
    <t>Efterafgrøde i majs - lerjord</t>
  </si>
  <si>
    <t>Efterafgrøde m sædskifteændr. f 21/8 - sandjord</t>
  </si>
  <si>
    <t>Efterafgrøde m sædskifteændr. f 21/8 - lerjord</t>
  </si>
  <si>
    <t>Efterafgrøde m sædskifteændr. 21/8-24/8 - sandjord</t>
  </si>
  <si>
    <t>Efterafgrøde m sædskifteændr. 21/8-24/8 - lerjord</t>
  </si>
  <si>
    <t>Efterafgrøde m sædskifteændr. 25/8-28/8 - sandjord</t>
  </si>
  <si>
    <t>Efterafgrøde m sædskifteændr. 25/8-28/9 - lerjord</t>
  </si>
  <si>
    <t>Målrettede efterafgrøder og alternativer</t>
  </si>
  <si>
    <t>Brak langs vandløb og søer - JB1+3</t>
  </si>
  <si>
    <t>Brak langs vandløb og søer - JB2+4+11</t>
  </si>
  <si>
    <t>Brak langs vandløb og søer - JB5-6</t>
  </si>
  <si>
    <t>Brak langs vandløb og søer - JB7-9</t>
  </si>
  <si>
    <t>Brak - JB1+3</t>
  </si>
  <si>
    <t>Brak - JB2+4+11</t>
  </si>
  <si>
    <t>Brak - JB5-6</t>
  </si>
  <si>
    <t>Brak - JB7-9</t>
  </si>
  <si>
    <t>Med målrettede efterafgrøder
og dårlige vejrforhold</t>
  </si>
  <si>
    <t>Med målrettede efterafgrøder
og normale vejrforhold</t>
  </si>
  <si>
    <t>Kvotereduktion 0-5 pct.</t>
  </si>
  <si>
    <t>Rest til kvotereduktion (kg N og antal ha)</t>
  </si>
  <si>
    <t>Kvotereduktion 5-10 pct.</t>
  </si>
  <si>
    <t>Kg N</t>
  </si>
  <si>
    <t>Kvotereduktion 10-15 pct.</t>
  </si>
  <si>
    <t>Værdi af protein i foderkorn indregnes</t>
  </si>
  <si>
    <t>Bedriften er kornkøber</t>
  </si>
  <si>
    <t>Ja</t>
  </si>
  <si>
    <t>Nej</t>
  </si>
  <si>
    <t>Pris i alt</t>
  </si>
  <si>
    <t>Kvote-
redukt.</t>
  </si>
  <si>
    <t>Kg N/ha
reduktion</t>
  </si>
  <si>
    <t>I alt kg N</t>
  </si>
  <si>
    <t>Kvotereduktion 15-20 pct.</t>
  </si>
  <si>
    <t>Kvotereduktion 20-25 pct.</t>
  </si>
  <si>
    <t>Kvotereduktion 25-30 pct.</t>
  </si>
  <si>
    <t>Kvotereduktion 30-35 pct.</t>
  </si>
  <si>
    <t>Kvotereduktion 35-40 pct.</t>
  </si>
  <si>
    <t>Kvotereduktion 40-45 pct.</t>
  </si>
  <si>
    <t>Kvotereduktion 45-50 pct.</t>
  </si>
  <si>
    <t>Omkostning i alt</t>
  </si>
  <si>
    <t>Navn</t>
  </si>
  <si>
    <t>Adresse</t>
  </si>
  <si>
    <t>Postnr</t>
  </si>
  <si>
    <t>N i organisk gødning, kg N/ha</t>
  </si>
  <si>
    <t>Værdi af protein i foderkorn</t>
  </si>
  <si>
    <t>Kornkøber</t>
  </si>
  <si>
    <t>Krav om pligtige efterafgrøder</t>
  </si>
  <si>
    <t>Krav om husdyrefterafgrøder</t>
  </si>
  <si>
    <t>Krav om målrettede efterafgrøder</t>
  </si>
  <si>
    <t>Efterafgrøder (uden sædskifteændring)</t>
  </si>
  <si>
    <t>Efterafgrøder m sædskifteændring</t>
  </si>
  <si>
    <t>Brak</t>
  </si>
  <si>
    <t>Omkostning i alt (pligtige + husdyr)</t>
  </si>
  <si>
    <t>Dyrket areal, ha</t>
  </si>
  <si>
    <t>Omdriftsareal, ha</t>
  </si>
  <si>
    <t>Scenarier</t>
  </si>
  <si>
    <t>Med målrettede efterafgrøder
normale vejrforhold</t>
  </si>
  <si>
    <t>Med målrettede efterafgrøder
dårlige vejrforhold</t>
  </si>
  <si>
    <t>kr.</t>
  </si>
  <si>
    <t>og husdyrefterafgrøder</t>
  </si>
  <si>
    <t>Virkemidler til pligtige efterafgrøder</t>
  </si>
  <si>
    <t>efterafgrøder (og alternativer)</t>
  </si>
  <si>
    <t>Virkemidler til målrettede</t>
  </si>
  <si>
    <t>Omkostning i alt (målrettede efterafgrøder)</t>
  </si>
  <si>
    <t>Scenarie uden og med målrettede efterafgrøder</t>
  </si>
  <si>
    <t>Forudsætninger:</t>
  </si>
  <si>
    <t>Kvælstofpris 6,50 kr./kg N</t>
  </si>
  <si>
    <t>Proteinpris på 3,25 kr. pr. procentenhed pr. hkg</t>
  </si>
  <si>
    <t>Ændring i proteinindhold 0,2 procentenhed pr. 10 kg N</t>
  </si>
  <si>
    <t>Omkostning pr. ha i omdrift (målrettede efterafgrøder)</t>
  </si>
  <si>
    <t>Omkostning pr. ha (pligtige + husdyr)</t>
  </si>
  <si>
    <t>Overvintrende afgrøder</t>
  </si>
  <si>
    <t>I dette regneark er indsat data for omkostningerne ved kvotereduktion i afgrøderne vinterhvede, hybridrug, vinterraps og vårbyg.</t>
  </si>
  <si>
    <t>Du angiver selv hvilken afgrødekombination, der bedst svarer til bedriftens sædskifte.</t>
  </si>
  <si>
    <t>Du skal angive afgrødesammensætning for hver jordtype.</t>
  </si>
  <si>
    <t>Pris pr. ha
med kvotereduktion</t>
  </si>
  <si>
    <t>Pris pr. ha efterafgrødekrav
(150 N)</t>
  </si>
  <si>
    <t>Pris pr. ha efterafgrødekrav
(93 N)</t>
  </si>
  <si>
    <t>Jordtypefordelingen er hentet fra fanen scenarie, række 91-99.</t>
  </si>
  <si>
    <t>Faktor
kg N:1 ha</t>
  </si>
  <si>
    <t>Forudsætning:</t>
  </si>
  <si>
    <t>Kvælstofnormer 2020</t>
  </si>
  <si>
    <t>Antal ha med 5 pct. kvotereduktion afhænger af omregningsfaktoren (93 eller 150 kg N pr. ha efterafgrødekrav)</t>
  </si>
  <si>
    <t>og størrelsen af bedriftens kvælstofkvote pr. ha.</t>
  </si>
  <si>
    <t>N-kvote
pr. ha</t>
  </si>
  <si>
    <t>Der er regnet med meromkostninger på 10 kr. pr. ha til erstatningskorn (kornkøb).</t>
  </si>
  <si>
    <t>Omkostninger ved kvotereduktion, kr. pr. ha</t>
  </si>
  <si>
    <t>Beregnet udbyttetab ved kvotereduktion, hkg pr. ha</t>
  </si>
  <si>
    <t>JB1+3</t>
  </si>
  <si>
    <t>Kornpriser 115 kr./hkg for vinterhvede, 110 kr./hkg for vårbyg</t>
  </si>
  <si>
    <t>Afgrødepriser og pris på kvælstof</t>
  </si>
  <si>
    <t>Rug</t>
  </si>
  <si>
    <t>Kvælstof</t>
  </si>
  <si>
    <t>kr./kg N</t>
  </si>
  <si>
    <t>115 kr./hkg</t>
  </si>
  <si>
    <t>110 kr./hg</t>
  </si>
  <si>
    <t>100 kr./hkg</t>
  </si>
  <si>
    <t>270 kr./hkg</t>
  </si>
  <si>
    <t>6,50 kr./kg N</t>
  </si>
  <si>
    <t>Omkostninger
som gennemsnit
for sædskiftet</t>
  </si>
  <si>
    <t>Priser</t>
  </si>
  <si>
    <t>vinterraps</t>
  </si>
  <si>
    <t>Egen pris/anvendt</t>
  </si>
  <si>
    <t>Ændring i kvælstofanvendelse pr. 5 pct. kvotereduktion, kg N pr. ha</t>
  </si>
  <si>
    <t>Omkostninger ved kvotereduktion beregnet med standardforudsætninger, kr. pr. ha</t>
  </si>
  <si>
    <t>Proteinpris</t>
  </si>
  <si>
    <t>kr. pr. procentenhed pr. hkg</t>
  </si>
  <si>
    <t>Gns. tab af dækningsbidrag i sædskiftet inkl. 30% af maskinomk.</t>
  </si>
  <si>
    <t>10 kr. pr. ton gylle ved 30 ton pr. ha</t>
  </si>
  <si>
    <t>10 kr. pr. hkg kerne (foderkorn)</t>
  </si>
  <si>
    <t>Vinter-
hvede</t>
  </si>
  <si>
    <t>Hybrid-
rug</t>
  </si>
  <si>
    <t>Vinter-
raps</t>
  </si>
  <si>
    <t>Udarbejdet af</t>
  </si>
  <si>
    <t>Forening</t>
  </si>
  <si>
    <t>Vejledning</t>
  </si>
  <si>
    <t>Indsaml først oplysninger om dyrknings-</t>
  </si>
  <si>
    <t>praksis, dvs. afgrødesammensætning og</t>
  </si>
  <si>
    <t>kornudbytter - og udfyld fanen 2 Praksis.</t>
  </si>
  <si>
    <t>Tilret evt. forudsætninger og omkostninger</t>
  </si>
  <si>
    <t>ved virkemidlerne til bedriftens forhold.</t>
  </si>
  <si>
    <t>virkemidler.</t>
  </si>
  <si>
    <t xml:space="preserve">Opstil til sidst scenarier med valg af </t>
  </si>
  <si>
    <t>Gælder for hjemmeblandere og hvis korn afregnes for proteinindhold.</t>
  </si>
  <si>
    <t>Dokumentationen kan hentes fra mark- og gødningsplanterne samt bedriftens årsrapporter. Kornudbytter er vigtige. Priser kan udelades, hvis standardpriser er OK.</t>
  </si>
  <si>
    <t>Kvælstofkvote, kg N (hele bedriften)</t>
  </si>
  <si>
    <t>Udnyttelseskrav, pct.</t>
  </si>
  <si>
    <t>Efterafgrøder med sædskifteændring fra vintersæd til vårsæd</t>
  </si>
  <si>
    <t>Sædskifteændring består ofte i, at vinterhvede (2. eller 3. års) erstattes af vårbyg.</t>
  </si>
  <si>
    <t>Udbytteforskellen mellem vinterhvede (2. eller 3. års) og vårbyg er afgørende for omklstningerne.</t>
  </si>
  <si>
    <t>Udbytteforskel (standard), hkg</t>
  </si>
  <si>
    <t>Udbytteforskel (egen bedrift), hkg</t>
  </si>
  <si>
    <t>Beregning af omkostninger ved kvælstofregulering med efterafgrøder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</si>
</sst>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r.&quot;;[Red]\-#,##0.00\ &quot;kr.&quot;"/>
    <numFmt numFmtId="164" formatCode="#,##0.0"/>
    <numFmt numFmtId="165" formatCode="0.0"/>
  </numFmts>
  <fonts count="8" x14ac:knownFonts="1">
    <font>
      <sz val="9"/>
      <color theme="1"/>
      <name val="Arial"/>
      <family val="2"/>
    </font>
    <font>
      <sz val="9"/>
      <color rgb="FFFF0000"/>
      <name val="Arial"/>
      <family val="2"/>
    </font>
    <font>
      <b/>
      <sz val="9"/>
      <color theme="1"/>
      <name val="Arial"/>
      <family val="2"/>
    </font>
    <font>
      <b/>
      <sz val="14"/>
      <color theme="1"/>
      <name val="Arial"/>
      <family val="2"/>
    </font>
    <font>
      <b/>
      <sz val="12"/>
      <color theme="1"/>
      <name val="Arial"/>
      <family val="2"/>
    </font>
    <font>
      <b/>
      <sz val="11"/>
      <color theme="1"/>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rgb="FFCC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6">
    <xf numFmtId="0" fontId="0" fillId="0" borderId="0" xfId="0"/>
    <xf numFmtId="0" fontId="3" fillId="2" borderId="0" xfId="0" applyFont="1" applyFill="1"/>
    <xf numFmtId="0" fontId="0" fillId="2" borderId="0" xfId="0" applyFill="1"/>
    <xf numFmtId="164" fontId="0" fillId="2" borderId="0" xfId="0" applyNumberFormat="1" applyFill="1"/>
    <xf numFmtId="0" fontId="0" fillId="2" borderId="0" xfId="0" applyFill="1" applyAlignment="1">
      <alignment horizontal="center"/>
    </xf>
    <xf numFmtId="0" fontId="2" fillId="2" borderId="0" xfId="0" applyFont="1" applyFill="1"/>
    <xf numFmtId="0" fontId="2" fillId="2" borderId="2" xfId="0" applyFont="1" applyFill="1" applyBorder="1"/>
    <xf numFmtId="0" fontId="0" fillId="2" borderId="2" xfId="0" applyFill="1" applyBorder="1"/>
    <xf numFmtId="3" fontId="0" fillId="2" borderId="0" xfId="0" applyNumberFormat="1" applyFill="1"/>
    <xf numFmtId="3" fontId="2" fillId="2" borderId="0" xfId="0" applyNumberFormat="1" applyFont="1" applyFill="1"/>
    <xf numFmtId="0" fontId="0" fillId="0" borderId="1" xfId="0" applyFill="1" applyBorder="1" applyProtection="1">
      <protection locked="0"/>
    </xf>
    <xf numFmtId="0" fontId="2" fillId="2" borderId="0" xfId="0" applyFont="1" applyFill="1" applyAlignment="1">
      <alignment horizontal="center"/>
    </xf>
    <xf numFmtId="0" fontId="2" fillId="2" borderId="0" xfId="0" applyFont="1" applyFill="1" applyBorder="1"/>
    <xf numFmtId="0" fontId="0" fillId="2" borderId="0" xfId="0" applyFill="1" applyBorder="1"/>
    <xf numFmtId="164" fontId="0" fillId="2" borderId="0" xfId="0" applyNumberFormat="1" applyFill="1" applyBorder="1" applyProtection="1">
      <protection locked="0"/>
    </xf>
    <xf numFmtId="1" fontId="0" fillId="2" borderId="0" xfId="0" applyNumberFormat="1" applyFill="1" applyBorder="1" applyProtection="1">
      <protection locked="0"/>
    </xf>
    <xf numFmtId="1" fontId="0" fillId="2" borderId="0" xfId="0" applyNumberFormat="1" applyFill="1"/>
    <xf numFmtId="164" fontId="0" fillId="2" borderId="0" xfId="0" applyNumberFormat="1" applyFill="1" applyBorder="1"/>
    <xf numFmtId="1" fontId="0" fillId="2" borderId="0" xfId="0" applyNumberFormat="1" applyFill="1" applyBorder="1"/>
    <xf numFmtId="164" fontId="0" fillId="2" borderId="0" xfId="0" applyNumberFormat="1" applyFill="1" applyBorder="1" applyProtection="1"/>
    <xf numFmtId="0" fontId="0" fillId="2" borderId="0" xfId="0" applyFill="1" applyBorder="1" applyProtection="1"/>
    <xf numFmtId="164" fontId="0" fillId="0" borderId="1" xfId="0" applyNumberFormat="1" applyFill="1" applyBorder="1" applyProtection="1">
      <protection locked="0"/>
    </xf>
    <xf numFmtId="1" fontId="0" fillId="0" borderId="1" xfId="0" applyNumberFormat="1" applyFill="1" applyBorder="1" applyProtection="1">
      <protection locked="0"/>
    </xf>
    <xf numFmtId="0" fontId="0" fillId="2" borderId="0" xfId="0" applyFill="1" applyBorder="1" applyAlignment="1">
      <alignment horizontal="center"/>
    </xf>
    <xf numFmtId="0" fontId="4" fillId="2" borderId="2" xfId="0" applyFont="1" applyFill="1" applyBorder="1" applyAlignment="1">
      <alignment horizontal="left"/>
    </xf>
    <xf numFmtId="0" fontId="4" fillId="2" borderId="2" xfId="0" applyFont="1" applyFill="1" applyBorder="1" applyAlignment="1">
      <alignment horizontal="left" wrapText="1"/>
    </xf>
    <xf numFmtId="0" fontId="2" fillId="2" borderId="2" xfId="0" applyFont="1" applyFill="1" applyBorder="1" applyAlignment="1">
      <alignment horizontal="center"/>
    </xf>
    <xf numFmtId="0" fontId="0" fillId="2" borderId="2" xfId="0" applyFill="1" applyBorder="1" applyAlignment="1">
      <alignment horizontal="center"/>
    </xf>
    <xf numFmtId="0" fontId="2" fillId="2" borderId="2" xfId="0" applyFont="1" applyFill="1" applyBorder="1" applyAlignment="1">
      <alignment horizontal="center" wrapText="1"/>
    </xf>
    <xf numFmtId="0" fontId="2" fillId="2" borderId="2" xfId="0" applyFont="1" applyFill="1" applyBorder="1" applyAlignment="1">
      <alignment wrapText="1"/>
    </xf>
    <xf numFmtId="0" fontId="5" fillId="2" borderId="0" xfId="0" applyFont="1" applyFill="1"/>
    <xf numFmtId="0" fontId="2" fillId="2" borderId="0" xfId="0" applyFont="1" applyFill="1" applyBorder="1" applyAlignment="1">
      <alignment horizontal="center"/>
    </xf>
    <xf numFmtId="164" fontId="0" fillId="2" borderId="2" xfId="0" applyNumberFormat="1" applyFill="1" applyBorder="1" applyProtection="1">
      <protection locked="0"/>
    </xf>
    <xf numFmtId="164" fontId="0" fillId="2" borderId="2" xfId="0" applyNumberFormat="1" applyFill="1" applyBorder="1"/>
    <xf numFmtId="0" fontId="5" fillId="2" borderId="0" xfId="0" applyFont="1" applyFill="1" applyBorder="1"/>
    <xf numFmtId="164" fontId="2" fillId="2" borderId="0" xfId="0" applyNumberFormat="1" applyFont="1" applyFill="1" applyBorder="1" applyProtection="1">
      <protection locked="0"/>
    </xf>
    <xf numFmtId="164" fontId="1" fillId="2" borderId="0" xfId="0" applyNumberFormat="1" applyFont="1" applyFill="1" applyBorder="1"/>
    <xf numFmtId="165" fontId="0" fillId="2" borderId="0" xfId="0" applyNumberFormat="1" applyFill="1"/>
    <xf numFmtId="165" fontId="0" fillId="2" borderId="0" xfId="0" applyNumberFormat="1" applyFill="1" applyBorder="1"/>
    <xf numFmtId="165" fontId="0" fillId="2" borderId="0" xfId="0" applyNumberFormat="1" applyFill="1" applyBorder="1" applyProtection="1">
      <protection locked="0"/>
    </xf>
    <xf numFmtId="0" fontId="2" fillId="2" borderId="0" xfId="0" applyFont="1" applyFill="1" applyAlignment="1">
      <alignment horizontal="right"/>
    </xf>
    <xf numFmtId="0" fontId="4" fillId="2" borderId="0" xfId="0" applyFont="1" applyFill="1"/>
    <xf numFmtId="165" fontId="2" fillId="2" borderId="0" xfId="0" applyNumberFormat="1" applyFont="1" applyFill="1"/>
    <xf numFmtId="0" fontId="1" fillId="2" borderId="0" xfId="0" applyFont="1" applyFill="1"/>
    <xf numFmtId="0" fontId="2" fillId="2" borderId="0" xfId="0" applyFont="1" applyFill="1" applyAlignment="1">
      <alignment horizontal="center" wrapText="1"/>
    </xf>
    <xf numFmtId="0" fontId="2" fillId="2" borderId="0" xfId="0" applyFont="1" applyFill="1" applyBorder="1" applyAlignment="1">
      <alignment wrapText="1"/>
    </xf>
    <xf numFmtId="165" fontId="0" fillId="2" borderId="0" xfId="0" applyNumberFormat="1" applyFill="1" applyAlignment="1">
      <alignment horizontal="center"/>
    </xf>
    <xf numFmtId="165" fontId="0" fillId="2" borderId="0" xfId="0" applyNumberFormat="1" applyFill="1" applyBorder="1" applyAlignment="1">
      <alignment horizontal="center"/>
    </xf>
    <xf numFmtId="2" fontId="0" fillId="2" borderId="0" xfId="0" applyNumberFormat="1" applyFill="1" applyBorder="1" applyAlignment="1">
      <alignment horizontal="center"/>
    </xf>
    <xf numFmtId="0" fontId="0" fillId="0" borderId="1" xfId="0" applyFill="1" applyBorder="1" applyAlignment="1" applyProtection="1">
      <alignment horizontal="center"/>
      <protection locked="0"/>
    </xf>
    <xf numFmtId="165" fontId="0" fillId="0" borderId="1" xfId="0" applyNumberFormat="1" applyFill="1" applyBorder="1" applyProtection="1">
      <protection locked="0"/>
    </xf>
    <xf numFmtId="0" fontId="0" fillId="2" borderId="0" xfId="0" applyFont="1" applyFill="1"/>
    <xf numFmtId="0" fontId="6" fillId="2" borderId="0" xfId="0" applyFont="1" applyFill="1"/>
    <xf numFmtId="0" fontId="2" fillId="2" borderId="0" xfId="0" applyFont="1" applyFill="1" applyAlignment="1">
      <alignment horizontal="centerContinuous"/>
    </xf>
    <xf numFmtId="0" fontId="0" fillId="2" borderId="3" xfId="0" applyFill="1" applyBorder="1"/>
    <xf numFmtId="0" fontId="2" fillId="2" borderId="5" xfId="0" applyFont="1" applyFill="1" applyBorder="1" applyAlignment="1">
      <alignment horizontal="centerContinuous"/>
    </xf>
    <xf numFmtId="0" fontId="2" fillId="2" borderId="6" xfId="0" applyFont="1" applyFill="1" applyBorder="1" applyAlignment="1">
      <alignment horizontal="centerContinuous"/>
    </xf>
    <xf numFmtId="0" fontId="0" fillId="2" borderId="4" xfId="0" applyFill="1" applyBorder="1"/>
    <xf numFmtId="0" fontId="2" fillId="2" borderId="7" xfId="0" applyFont="1" applyFill="1" applyBorder="1" applyAlignment="1">
      <alignment horizontal="center"/>
    </xf>
    <xf numFmtId="0" fontId="2" fillId="2" borderId="8" xfId="0" applyFont="1" applyFill="1" applyBorder="1" applyAlignment="1">
      <alignment horizontal="center"/>
    </xf>
    <xf numFmtId="0" fontId="0" fillId="2" borderId="5" xfId="0" applyFill="1" applyBorder="1"/>
    <xf numFmtId="0" fontId="0" fillId="2" borderId="10" xfId="0" applyFill="1" applyBorder="1"/>
    <xf numFmtId="0" fontId="0" fillId="2" borderId="6" xfId="0" applyFill="1" applyBorder="1"/>
    <xf numFmtId="0" fontId="0" fillId="2" borderId="9" xfId="0" applyFill="1" applyBorder="1"/>
    <xf numFmtId="0" fontId="0" fillId="2" borderId="11" xfId="0" applyFill="1" applyBorder="1"/>
    <xf numFmtId="0" fontId="0" fillId="2" borderId="12" xfId="0" applyFill="1" applyBorder="1"/>
    <xf numFmtId="0" fontId="0" fillId="2" borderId="7" xfId="0" applyFill="1" applyBorder="1"/>
    <xf numFmtId="0" fontId="0" fillId="2" borderId="13" xfId="0" applyFill="1" applyBorder="1"/>
    <xf numFmtId="0" fontId="0" fillId="2" borderId="8" xfId="0" applyFill="1" applyBorder="1"/>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3" xfId="0" applyFont="1" applyFill="1" applyBorder="1"/>
    <xf numFmtId="0" fontId="2" fillId="2" borderId="5" xfId="0" applyFont="1" applyFill="1" applyBorder="1"/>
    <xf numFmtId="0" fontId="2" fillId="2" borderId="10" xfId="0" applyFont="1" applyFill="1" applyBorder="1"/>
    <xf numFmtId="0" fontId="2" fillId="2" borderId="6" xfId="0" applyFont="1" applyFill="1" applyBorder="1"/>
    <xf numFmtId="0" fontId="2" fillId="2" borderId="4" xfId="0" applyFont="1" applyFill="1" applyBorder="1"/>
    <xf numFmtId="0" fontId="2" fillId="2" borderId="7" xfId="0" applyFont="1" applyFill="1" applyBorder="1"/>
    <xf numFmtId="0" fontId="2" fillId="2" borderId="13" xfId="0" applyFont="1" applyFill="1" applyBorder="1"/>
    <xf numFmtId="0" fontId="2" fillId="2" borderId="8" xfId="0" applyFont="1" applyFill="1" applyBorder="1"/>
    <xf numFmtId="0" fontId="0" fillId="2" borderId="0" xfId="0" applyFill="1" applyProtection="1">
      <protection locked="0"/>
    </xf>
    <xf numFmtId="0" fontId="2" fillId="2" borderId="11" xfId="0" applyFont="1" applyFill="1" applyBorder="1"/>
    <xf numFmtId="0" fontId="0" fillId="2" borderId="0" xfId="0" applyFont="1" applyFill="1" applyBorder="1"/>
    <xf numFmtId="0" fontId="0" fillId="0" borderId="5" xfId="0" applyFill="1" applyBorder="1" applyProtection="1">
      <protection locked="0"/>
    </xf>
    <xf numFmtId="0" fontId="0" fillId="0" borderId="10" xfId="0" applyFill="1" applyBorder="1" applyProtection="1">
      <protection locked="0"/>
    </xf>
    <xf numFmtId="0" fontId="0" fillId="0" borderId="6" xfId="0" applyFill="1" applyBorder="1" applyProtection="1">
      <protection locked="0"/>
    </xf>
    <xf numFmtId="0" fontId="0" fillId="0" borderId="11" xfId="0" applyFill="1" applyBorder="1" applyProtection="1">
      <protection locked="0"/>
    </xf>
    <xf numFmtId="0" fontId="0" fillId="0" borderId="0" xfId="0" applyFill="1" applyBorder="1" applyProtection="1">
      <protection locked="0"/>
    </xf>
    <xf numFmtId="0" fontId="0" fillId="0" borderId="12" xfId="0" applyFill="1" applyBorder="1" applyProtection="1">
      <protection locked="0"/>
    </xf>
    <xf numFmtId="0" fontId="0" fillId="0" borderId="7" xfId="0" applyFill="1" applyBorder="1" applyProtection="1">
      <protection locked="0"/>
    </xf>
    <xf numFmtId="0" fontId="0" fillId="0" borderId="13" xfId="0" applyFill="1" applyBorder="1" applyProtection="1">
      <protection locked="0"/>
    </xf>
    <xf numFmtId="0" fontId="0" fillId="0" borderId="8" xfId="0" applyFill="1" applyBorder="1" applyProtection="1">
      <protection locked="0"/>
    </xf>
    <xf numFmtId="0" fontId="0" fillId="0" borderId="5" xfId="0" applyFill="1" applyBorder="1" applyProtection="1"/>
    <xf numFmtId="0" fontId="0" fillId="0" borderId="10" xfId="0" applyFill="1" applyBorder="1" applyProtection="1"/>
    <xf numFmtId="0" fontId="0" fillId="0" borderId="6" xfId="0" applyFill="1" applyBorder="1" applyProtection="1"/>
    <xf numFmtId="0" fontId="0" fillId="0" borderId="11" xfId="0" applyFill="1" applyBorder="1" applyProtection="1"/>
    <xf numFmtId="0" fontId="0" fillId="0" borderId="0" xfId="0" applyFill="1" applyBorder="1" applyProtection="1"/>
    <xf numFmtId="0" fontId="0" fillId="0" borderId="12" xfId="0" applyFill="1" applyBorder="1" applyProtection="1"/>
    <xf numFmtId="0" fontId="0" fillId="0" borderId="7" xfId="0" applyFill="1" applyBorder="1" applyProtection="1"/>
    <xf numFmtId="0" fontId="0" fillId="0" borderId="13" xfId="0" applyFill="1" applyBorder="1" applyProtection="1"/>
    <xf numFmtId="0" fontId="0" fillId="0" borderId="8" xfId="0" applyFill="1" applyBorder="1" applyProtection="1"/>
    <xf numFmtId="0" fontId="2" fillId="2" borderId="12" xfId="0" applyFont="1" applyFill="1" applyBorder="1"/>
    <xf numFmtId="0" fontId="2" fillId="2" borderId="10" xfId="0" applyFont="1" applyFill="1" applyBorder="1" applyAlignment="1">
      <alignment horizontal="centerContinuous"/>
    </xf>
    <xf numFmtId="0" fontId="0" fillId="2" borderId="0" xfId="0" applyFill="1" applyAlignment="1"/>
    <xf numFmtId="0" fontId="0" fillId="0" borderId="11" xfId="0" applyFont="1" applyFill="1" applyBorder="1" applyAlignment="1" applyProtection="1">
      <protection locked="0"/>
    </xf>
    <xf numFmtId="0" fontId="0" fillId="0" borderId="0" xfId="0" applyFont="1" applyFill="1" applyBorder="1" applyAlignment="1" applyProtection="1">
      <protection locked="0"/>
    </xf>
    <xf numFmtId="0" fontId="0" fillId="0" borderId="12" xfId="0" applyFont="1" applyFill="1" applyBorder="1" applyAlignment="1" applyProtection="1">
      <protection locked="0"/>
    </xf>
    <xf numFmtId="0" fontId="0" fillId="0" borderId="7" xfId="0" applyFont="1" applyFill="1" applyBorder="1" applyAlignment="1" applyProtection="1">
      <protection locked="0"/>
    </xf>
    <xf numFmtId="0" fontId="0" fillId="0" borderId="13" xfId="0" applyFont="1" applyFill="1" applyBorder="1" applyAlignment="1" applyProtection="1">
      <protection locked="0"/>
    </xf>
    <xf numFmtId="0" fontId="0" fillId="0" borderId="8" xfId="0" applyFont="1" applyFill="1" applyBorder="1" applyAlignment="1" applyProtection="1">
      <protection locked="0"/>
    </xf>
    <xf numFmtId="3" fontId="0" fillId="2" borderId="11" xfId="0" applyNumberFormat="1" applyFont="1" applyFill="1" applyBorder="1" applyAlignment="1"/>
    <xf numFmtId="3" fontId="0" fillId="2" borderId="0" xfId="0" applyNumberFormat="1" applyFont="1" applyFill="1" applyBorder="1" applyAlignment="1"/>
    <xf numFmtId="3" fontId="0" fillId="2" borderId="12" xfId="0" applyNumberFormat="1" applyFont="1" applyFill="1" applyBorder="1" applyAlignment="1"/>
    <xf numFmtId="3" fontId="2" fillId="2" borderId="5" xfId="0" applyNumberFormat="1" applyFont="1" applyFill="1" applyBorder="1"/>
    <xf numFmtId="3" fontId="2" fillId="2" borderId="10" xfId="0" applyNumberFormat="1" applyFont="1" applyFill="1" applyBorder="1"/>
    <xf numFmtId="3" fontId="2" fillId="2" borderId="6" xfId="0" applyNumberFormat="1" applyFont="1" applyFill="1" applyBorder="1"/>
    <xf numFmtId="3" fontId="2" fillId="2" borderId="7" xfId="0" applyNumberFormat="1" applyFont="1" applyFill="1" applyBorder="1"/>
    <xf numFmtId="3" fontId="2" fillId="2" borderId="13" xfId="0" applyNumberFormat="1" applyFont="1" applyFill="1" applyBorder="1"/>
    <xf numFmtId="3" fontId="2" fillId="2" borderId="8" xfId="0" applyNumberFormat="1" applyFont="1" applyFill="1" applyBorder="1"/>
    <xf numFmtId="3" fontId="0" fillId="0" borderId="11" xfId="0" applyNumberFormat="1" applyFont="1" applyFill="1" applyBorder="1" applyAlignment="1" applyProtection="1">
      <protection locked="0"/>
    </xf>
    <xf numFmtId="3" fontId="0" fillId="0" borderId="0" xfId="0" applyNumberFormat="1" applyFont="1" applyFill="1" applyBorder="1" applyAlignment="1" applyProtection="1">
      <protection locked="0"/>
    </xf>
    <xf numFmtId="3" fontId="0" fillId="0" borderId="12" xfId="0" applyNumberFormat="1" applyFont="1" applyFill="1" applyBorder="1" applyAlignment="1" applyProtection="1">
      <protection locked="0"/>
    </xf>
    <xf numFmtId="3" fontId="2" fillId="2" borderId="11" xfId="0" applyNumberFormat="1" applyFont="1" applyFill="1" applyBorder="1"/>
    <xf numFmtId="3" fontId="2" fillId="2" borderId="0" xfId="0" applyNumberFormat="1" applyFont="1" applyFill="1" applyBorder="1"/>
    <xf numFmtId="3" fontId="2" fillId="2" borderId="12" xfId="0" applyNumberFormat="1" applyFont="1" applyFill="1" applyBorder="1"/>
    <xf numFmtId="3" fontId="0" fillId="0" borderId="7" xfId="0" applyNumberFormat="1" applyFont="1" applyFill="1" applyBorder="1" applyAlignment="1" applyProtection="1">
      <protection locked="0"/>
    </xf>
    <xf numFmtId="3" fontId="0" fillId="0" borderId="13" xfId="0" applyNumberFormat="1" applyFont="1" applyFill="1" applyBorder="1" applyAlignment="1" applyProtection="1">
      <protection locked="0"/>
    </xf>
    <xf numFmtId="3" fontId="0" fillId="0" borderId="8" xfId="0" applyNumberFormat="1" applyFont="1" applyFill="1" applyBorder="1" applyAlignment="1" applyProtection="1">
      <protection locked="0"/>
    </xf>
    <xf numFmtId="0" fontId="0" fillId="2" borderId="15" xfId="0" applyFill="1" applyBorder="1" applyAlignment="1">
      <alignment horizontal="centerContinuous"/>
    </xf>
    <xf numFmtId="0" fontId="0" fillId="2" borderId="16" xfId="0" applyFill="1" applyBorder="1" applyAlignment="1">
      <alignment horizontal="centerContinuous"/>
    </xf>
    <xf numFmtId="0" fontId="2" fillId="2" borderId="1" xfId="0" applyFont="1" applyFill="1" applyBorder="1" applyAlignment="1">
      <alignment horizontal="center"/>
    </xf>
    <xf numFmtId="0" fontId="2" fillId="2" borderId="1" xfId="0" applyFont="1" applyFill="1" applyBorder="1" applyAlignment="1">
      <alignment horizontal="center" wrapText="1"/>
    </xf>
    <xf numFmtId="2" fontId="0" fillId="2" borderId="0" xfId="0" applyNumberFormat="1" applyFill="1"/>
    <xf numFmtId="2" fontId="0" fillId="2" borderId="0" xfId="0" applyNumberFormat="1" applyFill="1" applyAlignment="1">
      <alignment horizontal="center"/>
    </xf>
    <xf numFmtId="0" fontId="0" fillId="2" borderId="0" xfId="0" applyFill="1" applyAlignment="1">
      <alignment wrapText="1"/>
    </xf>
    <xf numFmtId="0" fontId="0" fillId="2" borderId="0" xfId="0" applyFont="1" applyFill="1" applyAlignment="1">
      <alignment horizontal="center"/>
    </xf>
    <xf numFmtId="0" fontId="0" fillId="2" borderId="0" xfId="0" applyFont="1" applyFill="1" applyAlignment="1">
      <alignment horizontal="center" wrapText="1"/>
    </xf>
    <xf numFmtId="0" fontId="2" fillId="2" borderId="2" xfId="0" applyFont="1" applyFill="1" applyBorder="1" applyAlignment="1">
      <alignment horizontal="right"/>
    </xf>
    <xf numFmtId="0" fontId="2" fillId="2" borderId="14" xfId="0" applyFont="1" applyFill="1" applyBorder="1" applyAlignment="1">
      <alignment horizontal="centerContinuous" wrapText="1"/>
    </xf>
    <xf numFmtId="0" fontId="2" fillId="2" borderId="0" xfId="0" applyFont="1" applyFill="1" applyAlignment="1">
      <alignment wrapText="1"/>
    </xf>
    <xf numFmtId="0" fontId="0" fillId="2" borderId="0" xfId="0" applyFill="1" applyAlignment="1">
      <alignment horizontal="right"/>
    </xf>
    <xf numFmtId="0" fontId="0" fillId="2" borderId="0" xfId="0" applyFill="1" applyAlignment="1">
      <alignment horizontal="right" wrapText="1"/>
    </xf>
    <xf numFmtId="4" fontId="0" fillId="2" borderId="0" xfId="0" applyNumberFormat="1" applyFill="1"/>
    <xf numFmtId="3" fontId="0" fillId="0" borderId="1" xfId="0" applyNumberFormat="1" applyFill="1" applyBorder="1" applyProtection="1">
      <protection locked="0"/>
    </xf>
    <xf numFmtId="4" fontId="0" fillId="0" borderId="1" xfId="0" applyNumberFormat="1" applyFill="1" applyBorder="1" applyProtection="1">
      <protection locked="0"/>
    </xf>
    <xf numFmtId="0" fontId="0" fillId="2" borderId="0" xfId="0" applyFill="1" applyAlignment="1">
      <alignment horizontal="left" vertical="center" wrapText="1"/>
    </xf>
    <xf numFmtId="0" fontId="2" fillId="0" borderId="0" xfId="0" applyFont="1"/>
    <xf numFmtId="0" fontId="0" fillId="2" borderId="0" xfId="0" applyFont="1" applyFill="1" applyAlignment="1">
      <alignment wrapText="1"/>
    </xf>
    <xf numFmtId="3" fontId="0" fillId="0" borderId="0" xfId="0" applyNumberFormat="1"/>
    <xf numFmtId="4" fontId="0" fillId="2" borderId="0" xfId="0" applyNumberFormat="1" applyFill="1" applyBorder="1" applyProtection="1"/>
    <xf numFmtId="8" fontId="0" fillId="2" borderId="0" xfId="0" applyNumberFormat="1" applyFill="1"/>
    <xf numFmtId="0" fontId="2" fillId="2" borderId="0" xfId="0" applyFont="1" applyFill="1" applyAlignment="1">
      <alignment horizontal="right" wrapText="1"/>
    </xf>
    <xf numFmtId="0" fontId="7" fillId="2" borderId="0" xfId="0" applyFont="1" applyFill="1"/>
    <xf numFmtId="0" fontId="0" fillId="2" borderId="4" xfId="0" applyFont="1" applyFill="1" applyBorder="1"/>
    <xf numFmtId="0" fontId="0" fillId="2" borderId="14" xfId="0" applyFont="1" applyFill="1" applyBorder="1" applyAlignment="1">
      <alignment horizontal="center"/>
    </xf>
    <xf numFmtId="0" fontId="0" fillId="2" borderId="16" xfId="0" applyFont="1" applyFill="1" applyBorder="1" applyAlignment="1">
      <alignment horizontal="center"/>
    </xf>
    <xf numFmtId="0" fontId="0" fillId="0" borderId="7" xfId="0"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3" fontId="0" fillId="2" borderId="0" xfId="0" applyNumberFormat="1" applyFont="1" applyFill="1" applyBorder="1" applyAlignment="1">
      <alignment horizontal="right"/>
    </xf>
    <xf numFmtId="3" fontId="0" fillId="2" borderId="12" xfId="0" applyNumberFormat="1" applyFont="1" applyFill="1" applyBorder="1" applyAlignment="1">
      <alignment horizontal="right"/>
    </xf>
    <xf numFmtId="3" fontId="0" fillId="2" borderId="0" xfId="0" applyNumberFormat="1" applyFill="1" applyBorder="1"/>
    <xf numFmtId="3" fontId="0" fillId="2" borderId="12" xfId="0" applyNumberFormat="1" applyFill="1" applyBorder="1"/>
    <xf numFmtId="3" fontId="2" fillId="0" borderId="11" xfId="0" applyNumberFormat="1" applyFont="1" applyFill="1" applyBorder="1" applyAlignment="1" applyProtection="1">
      <alignment horizontal="center"/>
      <protection locked="0"/>
    </xf>
    <xf numFmtId="3" fontId="2" fillId="0" borderId="0" xfId="0" applyNumberFormat="1" applyFont="1" applyFill="1" applyBorder="1" applyAlignment="1" applyProtection="1">
      <alignment horizontal="center"/>
      <protection locked="0"/>
    </xf>
    <xf numFmtId="3" fontId="2" fillId="0" borderId="12" xfId="0" applyNumberFormat="1" applyFont="1" applyFill="1" applyBorder="1" applyAlignment="1" applyProtection="1">
      <alignment horizontal="center"/>
      <protection locked="0"/>
    </xf>
    <xf numFmtId="3" fontId="0" fillId="0" borderId="11" xfId="0" applyNumberFormat="1" applyFill="1" applyBorder="1" applyProtection="1">
      <protection locked="0"/>
    </xf>
    <xf numFmtId="3" fontId="0" fillId="0" borderId="0" xfId="0" applyNumberFormat="1" applyFill="1" applyBorder="1" applyProtection="1">
      <protection locked="0"/>
    </xf>
    <xf numFmtId="3" fontId="0" fillId="0" borderId="12" xfId="0" applyNumberFormat="1" applyFill="1" applyBorder="1" applyProtection="1">
      <protection locked="0"/>
    </xf>
    <xf numFmtId="3" fontId="0" fillId="0" borderId="7" xfId="0" applyNumberFormat="1" applyFill="1" applyBorder="1" applyProtection="1">
      <protection locked="0"/>
    </xf>
    <xf numFmtId="3" fontId="0" fillId="0" borderId="13" xfId="0" applyNumberFormat="1" applyFill="1" applyBorder="1" applyProtection="1">
      <protection locked="0"/>
    </xf>
    <xf numFmtId="3" fontId="0" fillId="0" borderId="8" xfId="0" applyNumberFormat="1" applyFill="1" applyBorder="1" applyProtection="1">
      <protection locked="0"/>
    </xf>
    <xf numFmtId="0" fontId="2" fillId="2" borderId="2" xfId="0" applyFont="1" applyFill="1" applyBorder="1" applyAlignment="1">
      <alignment wrapText="1"/>
    </xf>
    <xf numFmtId="0" fontId="2" fillId="2" borderId="2" xfId="0" applyFont="1" applyFill="1" applyBorder="1" applyAlignment="1"/>
    <xf numFmtId="0" fontId="0" fillId="2" borderId="2" xfId="0" applyFill="1" applyBorder="1" applyAlignment="1"/>
    <xf numFmtId="0" fontId="0" fillId="0" borderId="14" xfId="0" applyFill="1" applyBorder="1" applyAlignment="1" applyProtection="1">
      <protection locked="0"/>
    </xf>
    <xf numFmtId="0" fontId="0" fillId="0" borderId="15" xfId="0" applyFill="1" applyBorder="1" applyAlignment="1" applyProtection="1">
      <protection locked="0"/>
    </xf>
    <xf numFmtId="0" fontId="0" fillId="0" borderId="16" xfId="0" applyFill="1" applyBorder="1" applyAlignment="1" applyProtection="1">
      <protection locked="0"/>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70778-87F4-488D-9EEE-D4A91FAE06E4}">
  <dimension ref="B1:P72"/>
  <sheetViews>
    <sheetView tabSelected="1" workbookViewId="0">
      <selection activeCell="B77" sqref="B77"/>
    </sheetView>
  </sheetViews>
  <sheetFormatPr defaultRowHeight="11.5" x14ac:dyDescent="0.25"/>
  <cols>
    <col min="1" max="1" width="1.69921875" style="2" customWidth="1"/>
    <col min="2" max="2" width="33.796875" style="2" customWidth="1"/>
    <col min="3" max="3" width="8.796875" style="2"/>
    <col min="4" max="4" width="4.69921875" style="2" customWidth="1"/>
    <col min="5" max="5" width="8.796875" style="2"/>
    <col min="6" max="6" width="5.09765625" style="2" customWidth="1"/>
    <col min="7" max="7" width="3.69921875" style="2" customWidth="1"/>
    <col min="8" max="8" width="8.796875" style="2"/>
    <col min="9" max="9" width="4.69921875" style="2" customWidth="1"/>
    <col min="10" max="10" width="8.796875" style="2"/>
    <col min="11" max="11" width="4.69921875" style="2" customWidth="1"/>
    <col min="12" max="12" width="3.69921875" style="2" customWidth="1"/>
    <col min="13" max="13" width="8.796875" style="2"/>
    <col min="14" max="14" width="4.69921875" style="2" customWidth="1"/>
    <col min="15" max="15" width="8.796875" style="2"/>
    <col min="16" max="16" width="4.69921875" style="2" customWidth="1"/>
    <col min="17" max="16384" width="8.796875" style="2"/>
  </cols>
  <sheetData>
    <row r="1" spans="2:16" ht="18" x14ac:dyDescent="0.4">
      <c r="B1" s="1" t="s">
        <v>328</v>
      </c>
    </row>
    <row r="3" spans="2:16" ht="5" customHeight="1" x14ac:dyDescent="0.25"/>
    <row r="4" spans="2:16" x14ac:dyDescent="0.25">
      <c r="B4" s="2" t="s">
        <v>236</v>
      </c>
      <c r="C4" s="173"/>
      <c r="D4" s="174"/>
      <c r="E4" s="174"/>
      <c r="F4" s="174"/>
      <c r="G4" s="174"/>
      <c r="H4" s="175"/>
      <c r="J4" s="2" t="s">
        <v>309</v>
      </c>
      <c r="L4" s="173"/>
      <c r="M4" s="174"/>
      <c r="N4" s="174"/>
      <c r="O4" s="174"/>
      <c r="P4" s="175"/>
    </row>
    <row r="5" spans="2:16" ht="5" customHeight="1" x14ac:dyDescent="0.25"/>
    <row r="6" spans="2:16" x14ac:dyDescent="0.25">
      <c r="B6" s="2" t="s">
        <v>237</v>
      </c>
      <c r="C6" s="173"/>
      <c r="D6" s="174"/>
      <c r="E6" s="174"/>
      <c r="F6" s="174"/>
      <c r="G6" s="174"/>
      <c r="H6" s="175"/>
      <c r="J6" s="2" t="s">
        <v>310</v>
      </c>
      <c r="L6" s="173"/>
      <c r="M6" s="174"/>
      <c r="N6" s="174"/>
      <c r="O6" s="174"/>
      <c r="P6" s="175"/>
    </row>
    <row r="7" spans="2:16" ht="5" customHeight="1" x14ac:dyDescent="0.25"/>
    <row r="8" spans="2:16" x14ac:dyDescent="0.25">
      <c r="C8" s="173"/>
      <c r="D8" s="174"/>
      <c r="E8" s="174"/>
      <c r="F8" s="174"/>
      <c r="G8" s="174"/>
      <c r="H8" s="175"/>
      <c r="L8" s="173"/>
      <c r="M8" s="174"/>
      <c r="N8" s="174"/>
      <c r="O8" s="174"/>
      <c r="P8" s="175"/>
    </row>
    <row r="9" spans="2:16" ht="5" customHeight="1" x14ac:dyDescent="0.25"/>
    <row r="10" spans="2:16" x14ac:dyDescent="0.25">
      <c r="B10" s="2" t="s">
        <v>238</v>
      </c>
      <c r="C10" s="10"/>
      <c r="E10" s="173"/>
      <c r="F10" s="174"/>
      <c r="G10" s="174"/>
      <c r="H10" s="175"/>
    </row>
    <row r="12" spans="2:16" ht="5" customHeight="1" x14ac:dyDescent="0.25"/>
    <row r="13" spans="2:16" x14ac:dyDescent="0.25">
      <c r="B13" s="2" t="s">
        <v>249</v>
      </c>
      <c r="C13" s="3">
        <f>'3 Scenarier'!F68</f>
        <v>0</v>
      </c>
      <c r="D13" s="2" t="s">
        <v>25</v>
      </c>
      <c r="J13" s="2" t="s">
        <v>311</v>
      </c>
      <c r="L13" s="2" t="s">
        <v>312</v>
      </c>
    </row>
    <row r="14" spans="2:16" ht="5" customHeight="1" x14ac:dyDescent="0.25"/>
    <row r="15" spans="2:16" x14ac:dyDescent="0.25">
      <c r="B15" s="2" t="s">
        <v>250</v>
      </c>
      <c r="C15" s="3">
        <f>'3 Scenarier'!F70</f>
        <v>0</v>
      </c>
      <c r="D15" s="2" t="s">
        <v>25</v>
      </c>
      <c r="L15" s="2" t="s">
        <v>313</v>
      </c>
    </row>
    <row r="16" spans="2:16" ht="5" customHeight="1" x14ac:dyDescent="0.25">
      <c r="C16" s="3"/>
    </row>
    <row r="17" spans="2:12" x14ac:dyDescent="0.25">
      <c r="B17" s="2" t="s">
        <v>267</v>
      </c>
      <c r="C17" s="3">
        <f>'3 Scenarier'!F72</f>
        <v>0</v>
      </c>
      <c r="D17" s="2" t="s">
        <v>25</v>
      </c>
      <c r="L17" s="2" t="s">
        <v>314</v>
      </c>
    </row>
    <row r="18" spans="2:12" ht="5" customHeight="1" x14ac:dyDescent="0.25"/>
    <row r="19" spans="2:12" x14ac:dyDescent="0.25">
      <c r="B19" s="2" t="s">
        <v>39</v>
      </c>
      <c r="C19" s="3">
        <f>'3 Scenarier'!F82</f>
        <v>0</v>
      </c>
      <c r="D19" s="2" t="s">
        <v>25</v>
      </c>
      <c r="L19" s="2" t="s">
        <v>315</v>
      </c>
    </row>
    <row r="20" spans="2:12" ht="5" customHeight="1" x14ac:dyDescent="0.25"/>
    <row r="21" spans="2:12" x14ac:dyDescent="0.25">
      <c r="B21" s="2" t="s">
        <v>239</v>
      </c>
      <c r="C21" s="3">
        <f>OrgGodn</f>
        <v>0</v>
      </c>
      <c r="D21" s="2" t="s">
        <v>25</v>
      </c>
      <c r="L21" s="2" t="s">
        <v>316</v>
      </c>
    </row>
    <row r="22" spans="2:12" ht="5" customHeight="1" x14ac:dyDescent="0.25"/>
    <row r="23" spans="2:12" x14ac:dyDescent="0.25">
      <c r="B23" s="2" t="s">
        <v>240</v>
      </c>
      <c r="C23" s="4" t="str">
        <f>Protkorn</f>
        <v>Ja</v>
      </c>
      <c r="L23" s="2" t="s">
        <v>318</v>
      </c>
    </row>
    <row r="24" spans="2:12" ht="5" customHeight="1" x14ac:dyDescent="0.25">
      <c r="C24" s="4"/>
    </row>
    <row r="25" spans="2:12" x14ac:dyDescent="0.25">
      <c r="B25" s="2" t="s">
        <v>241</v>
      </c>
      <c r="C25" s="4" t="str">
        <f>Kornkøb</f>
        <v>Nej</v>
      </c>
      <c r="L25" s="2" t="s">
        <v>317</v>
      </c>
    </row>
    <row r="26" spans="2:12" ht="5" customHeight="1" x14ac:dyDescent="0.25"/>
    <row r="27" spans="2:12" x14ac:dyDescent="0.25">
      <c r="B27" s="2" t="s">
        <v>242</v>
      </c>
      <c r="C27" s="3">
        <f>'3 Scenarier'!C108</f>
        <v>10.7</v>
      </c>
      <c r="D27" s="2" t="s">
        <v>47</v>
      </c>
      <c r="E27" s="3">
        <f>'3 Scenarier'!F108</f>
        <v>0</v>
      </c>
      <c r="F27" s="2" t="s">
        <v>25</v>
      </c>
    </row>
    <row r="28" spans="2:12" ht="5" customHeight="1" x14ac:dyDescent="0.25"/>
    <row r="29" spans="2:12" x14ac:dyDescent="0.25">
      <c r="B29" s="2" t="s">
        <v>243</v>
      </c>
      <c r="C29" s="3">
        <f>'3 Scenarier'!C110</f>
        <v>0</v>
      </c>
      <c r="D29" s="2" t="s">
        <v>47</v>
      </c>
      <c r="E29" s="3">
        <f>'3 Scenarier'!F110</f>
        <v>0</v>
      </c>
      <c r="F29" s="2" t="s">
        <v>25</v>
      </c>
    </row>
    <row r="30" spans="2:12" ht="5" customHeight="1" x14ac:dyDescent="0.25"/>
    <row r="31" spans="2:12" x14ac:dyDescent="0.25">
      <c r="B31" s="2" t="s">
        <v>244</v>
      </c>
      <c r="C31" s="3">
        <f>'3 Scenarier'!C112</f>
        <v>0</v>
      </c>
      <c r="D31" s="2" t="s">
        <v>47</v>
      </c>
      <c r="E31" s="3">
        <f>'3 Scenarier'!F112</f>
        <v>0</v>
      </c>
      <c r="F31" s="2" t="s">
        <v>25</v>
      </c>
    </row>
    <row r="32" spans="2:12" ht="5" customHeight="1" x14ac:dyDescent="0.25"/>
    <row r="34" spans="2:16" ht="23" customHeight="1" thickBot="1" x14ac:dyDescent="0.3">
      <c r="B34" s="5" t="s">
        <v>251</v>
      </c>
      <c r="C34" s="6" t="s">
        <v>44</v>
      </c>
      <c r="D34" s="7"/>
      <c r="E34" s="7"/>
      <c r="F34" s="7"/>
      <c r="H34" s="170" t="s">
        <v>252</v>
      </c>
      <c r="I34" s="171"/>
      <c r="J34" s="171"/>
      <c r="K34" s="172"/>
      <c r="M34" s="170" t="s">
        <v>253</v>
      </c>
      <c r="N34" s="171"/>
      <c r="O34" s="171"/>
      <c r="P34" s="172"/>
    </row>
    <row r="35" spans="2:16" ht="5" customHeight="1" x14ac:dyDescent="0.25"/>
    <row r="36" spans="2:16" x14ac:dyDescent="0.25">
      <c r="B36" s="5" t="s">
        <v>256</v>
      </c>
    </row>
    <row r="37" spans="2:16" ht="12" thickBot="1" x14ac:dyDescent="0.3">
      <c r="B37" s="5" t="s">
        <v>255</v>
      </c>
      <c r="C37" s="7"/>
      <c r="D37" s="7"/>
      <c r="E37" s="136" t="s">
        <v>224</v>
      </c>
      <c r="F37" s="7"/>
      <c r="H37" s="7"/>
      <c r="I37" s="7"/>
      <c r="J37" s="136" t="s">
        <v>224</v>
      </c>
      <c r="K37" s="7"/>
      <c r="M37" s="7"/>
      <c r="N37" s="7"/>
      <c r="O37" s="136" t="s">
        <v>224</v>
      </c>
      <c r="P37" s="7"/>
    </row>
    <row r="38" spans="2:16" ht="5" customHeight="1" x14ac:dyDescent="0.25"/>
    <row r="39" spans="2:16" x14ac:dyDescent="0.25">
      <c r="B39" s="2" t="s">
        <v>245</v>
      </c>
      <c r="C39" s="3">
        <f>'3 Scenarier'!H134+'3 Scenarier'!H136+'3 Scenarier'!H138+'3 Scenarier'!H140+'3 Scenarier'!H142+'3 Scenarier'!H144</f>
        <v>0</v>
      </c>
      <c r="D39" s="2" t="s">
        <v>25</v>
      </c>
      <c r="E39" s="8">
        <f>'3 Scenarier'!K134+'3 Scenarier'!K136+'3 Scenarier'!K138+'3 Scenarier'!K140+'3 Scenarier'!K142+'3 Scenarier'!K144</f>
        <v>0</v>
      </c>
      <c r="F39" s="2" t="s">
        <v>254</v>
      </c>
      <c r="H39" s="3">
        <f>'3 Scenarier'!S134+'3 Scenarier'!S136+'3 Scenarier'!S138+'3 Scenarier'!S140+'3 Scenarier'!S142+'3 Scenarier'!S144+'3 Scenarier'!S146+'3 Scenarier'!S148+'3 Scenarier'!S150+'3 Scenarier'!S152+'3 Scenarier'!S154+'3 Scenarier'!S156</f>
        <v>0</v>
      </c>
      <c r="I39" s="2" t="s">
        <v>25</v>
      </c>
      <c r="J39" s="8">
        <f>'3 Scenarier'!V134+'3 Scenarier'!V136+'3 Scenarier'!V138+'3 Scenarier'!V140+'3 Scenarier'!V142+'3 Scenarier'!V144+'3 Scenarier'!V146+'3 Scenarier'!V148+'3 Scenarier'!V150+'3 Scenarier'!V152+'3 Scenarier'!V154+'3 Scenarier'!V156</f>
        <v>0</v>
      </c>
      <c r="K39" s="2" t="s">
        <v>254</v>
      </c>
      <c r="L39" s="3"/>
      <c r="M39" s="3">
        <f>'3 Scenarier'!AF134+'3 Scenarier'!AF136+'3 Scenarier'!AF138+'3 Scenarier'!AF140+'3 Scenarier'!AF142+'3 Scenarier'!AF144+'3 Scenarier'!AF146+'3 Scenarier'!AF148+'3 Scenarier'!AF150+'3 Scenarier'!AF152+'3 Scenarier'!AF154+'3 Scenarier'!AF156</f>
        <v>0</v>
      </c>
      <c r="N39" s="2" t="s">
        <v>25</v>
      </c>
      <c r="O39" s="8">
        <f>'3 Scenarier'!AI134+'3 Scenarier'!AI136+'3 Scenarier'!AI138+'3 Scenarier'!AI140+'3 Scenarier'!AI142+'3 Scenarier'!AI144+'3 Scenarier'!AI146+'3 Scenarier'!AI148+'3 Scenarier'!AI150+'3 Scenarier'!AI152+'3 Scenarier'!AI154+'3 Scenarier'!AI156</f>
        <v>0</v>
      </c>
      <c r="P39" s="2" t="s">
        <v>254</v>
      </c>
    </row>
    <row r="40" spans="2:16" ht="5" customHeight="1" x14ac:dyDescent="0.25"/>
    <row r="41" spans="2:16" x14ac:dyDescent="0.25">
      <c r="B41" s="2" t="s">
        <v>67</v>
      </c>
      <c r="C41" s="3">
        <f>'3 Scenarier'!H150</f>
        <v>0</v>
      </c>
      <c r="D41" s="2" t="s">
        <v>25</v>
      </c>
      <c r="E41" s="8">
        <f>'3 Scenarier'!K150</f>
        <v>0</v>
      </c>
      <c r="F41" s="2" t="s">
        <v>254</v>
      </c>
      <c r="H41" s="3">
        <f>'3 Scenarier'!S174</f>
        <v>0</v>
      </c>
      <c r="I41" s="2" t="s">
        <v>25</v>
      </c>
      <c r="J41" s="8">
        <f>'3 Scenarier'!V174</f>
        <v>0</v>
      </c>
      <c r="K41" s="2" t="s">
        <v>254</v>
      </c>
      <c r="L41" s="3"/>
      <c r="M41" s="3">
        <f>'3 Scenarier'!AF174</f>
        <v>0</v>
      </c>
      <c r="N41" s="2" t="s">
        <v>25</v>
      </c>
      <c r="O41" s="8">
        <f>'3 Scenarier'!AI150</f>
        <v>0</v>
      </c>
      <c r="P41" s="2" t="s">
        <v>254</v>
      </c>
    </row>
    <row r="42" spans="2:16" ht="5" customHeight="1" x14ac:dyDescent="0.25"/>
    <row r="43" spans="2:16" x14ac:dyDescent="0.25">
      <c r="B43" s="2" t="s">
        <v>123</v>
      </c>
      <c r="C43" s="3">
        <f>'3 Scenarier'!H152+'3 Scenarier'!H154</f>
        <v>0</v>
      </c>
      <c r="D43" s="2" t="s">
        <v>25</v>
      </c>
      <c r="E43" s="8">
        <f>'3 Scenarier'!K152+'3 Scenarier'!K154</f>
        <v>0</v>
      </c>
      <c r="F43" s="2" t="s">
        <v>254</v>
      </c>
      <c r="H43" s="3">
        <f>'3 Scenarier'!S176+'3 Scenarier'!S178</f>
        <v>0</v>
      </c>
      <c r="I43" s="2" t="s">
        <v>25</v>
      </c>
      <c r="J43" s="8">
        <f>'3 Scenarier'!V176+'3 Scenarier'!V178</f>
        <v>0</v>
      </c>
      <c r="K43" s="2" t="s">
        <v>254</v>
      </c>
      <c r="L43" s="3"/>
      <c r="M43" s="3">
        <f>'3 Scenarier'!AF176+'3 Scenarier'!AF178</f>
        <v>0</v>
      </c>
      <c r="N43" s="2" t="s">
        <v>25</v>
      </c>
      <c r="O43" s="8">
        <f>'3 Scenarier'!AI176+'3 Scenarier'!AI178</f>
        <v>0</v>
      </c>
      <c r="P43" s="2" t="s">
        <v>254</v>
      </c>
    </row>
    <row r="44" spans="2:16" ht="5" customHeight="1" x14ac:dyDescent="0.25"/>
    <row r="45" spans="2:16" x14ac:dyDescent="0.25">
      <c r="B45" s="2" t="s">
        <v>66</v>
      </c>
      <c r="C45" s="3">
        <f>'3 Scenarier'!H156+'3 Scenarier'!H158+'3 Scenarier'!H160+'3 Scenarier'!H162</f>
        <v>0</v>
      </c>
      <c r="D45" s="2" t="s">
        <v>25</v>
      </c>
      <c r="E45" s="8">
        <f>'3 Scenarier'!K156+'3 Scenarier'!K158+'3 Scenarier'!K160+'3 Scenarier'!K162</f>
        <v>0</v>
      </c>
      <c r="F45" s="2" t="s">
        <v>254</v>
      </c>
      <c r="H45" s="3">
        <f>'3 Scenarier'!S180+'3 Scenarier'!S182+'3 Scenarier'!S184+'3 Scenarier'!S186</f>
        <v>0</v>
      </c>
      <c r="I45" s="2" t="s">
        <v>25</v>
      </c>
      <c r="J45" s="8">
        <f>'3 Scenarier'!V180+'3 Scenarier'!V182+'3 Scenarier'!V184+'3 Scenarier'!V186</f>
        <v>0</v>
      </c>
      <c r="K45" s="2" t="s">
        <v>254</v>
      </c>
      <c r="L45" s="3"/>
      <c r="M45" s="3">
        <f>'3 Scenarier'!AF180+'3 Scenarier'!AF182+'3 Scenarier'!AF184+'3 Scenarier'!AF186</f>
        <v>0</v>
      </c>
      <c r="N45" s="2" t="s">
        <v>25</v>
      </c>
      <c r="O45" s="8">
        <f>'3 Scenarier'!AI156+'3 Scenarier'!AI158+'3 Scenarier'!AI160+'3 Scenarier'!AI162</f>
        <v>0</v>
      </c>
      <c r="P45" s="2" t="s">
        <v>254</v>
      </c>
    </row>
    <row r="46" spans="2:16" ht="5" customHeight="1" x14ac:dyDescent="0.25"/>
    <row r="47" spans="2:16" x14ac:dyDescent="0.25">
      <c r="B47" s="2" t="s">
        <v>159</v>
      </c>
      <c r="C47" s="3">
        <f>IF('3 Scenarier'!$C$90=0,0,'3 Scenarier'!F174*100/'3 Scenarier'!$C$90)</f>
        <v>0</v>
      </c>
      <c r="D47" s="2" t="s">
        <v>47</v>
      </c>
      <c r="E47" s="8">
        <f>'3 Scenarier'!K176+'3 Scenarier'!K178+'3 Scenarier'!K180</f>
        <v>0</v>
      </c>
      <c r="F47" s="2" t="s">
        <v>254</v>
      </c>
      <c r="H47" s="3">
        <f>IF('3 Scenarier'!$C$90=0,0,'3 Scenarier'!Q198*100/'3 Scenarier'!$C$90)</f>
        <v>0</v>
      </c>
      <c r="I47" s="2" t="s">
        <v>47</v>
      </c>
      <c r="J47" s="8">
        <f>'3 Scenarier'!V200+'3 Scenarier'!V202+'3 Scenarier'!V204</f>
        <v>0</v>
      </c>
      <c r="K47" s="2" t="s">
        <v>254</v>
      </c>
      <c r="L47" s="3"/>
      <c r="M47" s="3">
        <f>IF('3 Scenarier'!$C$90=0,0,'3 Scenarier'!AD198*100/'3 Scenarier'!$C$90)</f>
        <v>0</v>
      </c>
      <c r="N47" s="2" t="s">
        <v>47</v>
      </c>
      <c r="O47" s="8">
        <f>'3 Scenarier'!AI200+'3 Scenarier'!AI202+'3 Scenarier'!AI204</f>
        <v>0</v>
      </c>
      <c r="P47" s="2" t="s">
        <v>254</v>
      </c>
    </row>
    <row r="48" spans="2:16" ht="5" customHeight="1" x14ac:dyDescent="0.25"/>
    <row r="49" spans="2:16" x14ac:dyDescent="0.25">
      <c r="B49" s="5" t="s">
        <v>248</v>
      </c>
      <c r="E49" s="9">
        <f>'3 Scenarier'!K182</f>
        <v>0</v>
      </c>
      <c r="F49" s="5" t="s">
        <v>254</v>
      </c>
      <c r="G49" s="5"/>
      <c r="J49" s="9">
        <f>'3 Scenarier'!V206</f>
        <v>0</v>
      </c>
      <c r="K49" s="5" t="s">
        <v>254</v>
      </c>
      <c r="O49" s="9">
        <f>'3 Scenarier'!AI206</f>
        <v>0</v>
      </c>
      <c r="P49" s="5" t="s">
        <v>254</v>
      </c>
    </row>
    <row r="50" spans="2:16" ht="5" customHeight="1" x14ac:dyDescent="0.25">
      <c r="B50" s="5"/>
      <c r="E50" s="9"/>
      <c r="F50" s="5"/>
      <c r="G50" s="5"/>
      <c r="J50" s="9"/>
      <c r="K50" s="5"/>
      <c r="O50" s="9"/>
      <c r="P50" s="5"/>
    </row>
    <row r="51" spans="2:16" ht="11.5" customHeight="1" x14ac:dyDescent="0.25">
      <c r="B51" s="5" t="s">
        <v>266</v>
      </c>
      <c r="E51" s="9">
        <f>IF($C$15=0,0,E49/$C$15)</f>
        <v>0</v>
      </c>
      <c r="F51" s="5" t="s">
        <v>254</v>
      </c>
      <c r="G51" s="5"/>
      <c r="J51" s="9">
        <f>IF($C$15=0,0,J49/$C$15)</f>
        <v>0</v>
      </c>
      <c r="K51" s="5" t="s">
        <v>254</v>
      </c>
      <c r="O51" s="9">
        <f>IF($C$15=0,0,O49/$C$15)</f>
        <v>0</v>
      </c>
      <c r="P51" s="5" t="s">
        <v>254</v>
      </c>
    </row>
    <row r="52" spans="2:16" ht="11.5" customHeight="1" x14ac:dyDescent="0.25"/>
    <row r="53" spans="2:16" x14ac:dyDescent="0.25">
      <c r="B53" s="5" t="s">
        <v>258</v>
      </c>
    </row>
    <row r="54" spans="2:16" ht="12" thickBot="1" x14ac:dyDescent="0.3">
      <c r="B54" s="5" t="s">
        <v>257</v>
      </c>
      <c r="E54" s="5"/>
      <c r="H54" s="7"/>
      <c r="I54" s="7"/>
      <c r="J54" s="136" t="s">
        <v>224</v>
      </c>
      <c r="K54" s="7"/>
      <c r="M54" s="7"/>
      <c r="N54" s="7"/>
      <c r="O54" s="136" t="s">
        <v>224</v>
      </c>
      <c r="P54" s="7"/>
    </row>
    <row r="55" spans="2:16" ht="5" customHeight="1" x14ac:dyDescent="0.25"/>
    <row r="56" spans="2:16" x14ac:dyDescent="0.25">
      <c r="B56" s="2" t="s">
        <v>245</v>
      </c>
      <c r="H56" s="3">
        <f>'3 Scenarier'!S220+'3 Scenarier'!S222+'3 Scenarier'!S224+'3 Scenarier'!S226+'3 Scenarier'!S228+'3 Scenarier'!Y230+'3 Scenarier'!Y232+'3 Scenarier'!Y234+'3 Scenarier'!Y236+'3 Scenarier'!Y238+'3 Scenarier'!Y240+'3 Scenarier'!Y242</f>
        <v>0</v>
      </c>
      <c r="I56" s="2" t="s">
        <v>25</v>
      </c>
      <c r="J56" s="8">
        <f>'3 Scenarier'!V220+'3 Scenarier'!V222+'3 Scenarier'!V224+'3 Scenarier'!V226+'3 Scenarier'!V228+'3 Scenarier'!AA230+'3 Scenarier'!AA232+'3 Scenarier'!AA234+'3 Scenarier'!AA236+'3 Scenarier'!AA238+'3 Scenarier'!AA240+'3 Scenarier'!AA242</f>
        <v>7</v>
      </c>
      <c r="K56" s="2" t="s">
        <v>254</v>
      </c>
      <c r="M56" s="3">
        <f>'3 Scenarier'!AF220+'3 Scenarier'!AF222+'3 Scenarier'!AF224+'3 Scenarier'!AF226+'3 Scenarier'!AF228+'3 Scenarier'!AD230+'3 Scenarier'!AD232+'3 Scenarier'!AD234+'3 Scenarier'!AD236+'3 Scenarier'!AD238+'3 Scenarier'!AD240+'3 Scenarier'!AD242</f>
        <v>0</v>
      </c>
      <c r="N56" s="2" t="s">
        <v>25</v>
      </c>
      <c r="O56" s="8">
        <f>'3 Scenarier'!AI220+'3 Scenarier'!AI222+'3 Scenarier'!AI224+'3 Scenarier'!AI226+'3 Scenarier'!AI228+'3 Scenarier'!AF230+'3 Scenarier'!AF232+'3 Scenarier'!AF234+'3 Scenarier'!AF236+'3 Scenarier'!AF238+'3 Scenarier'!AF240+'3 Scenarier'!AF242</f>
        <v>0</v>
      </c>
      <c r="P56" s="2" t="s">
        <v>254</v>
      </c>
    </row>
    <row r="57" spans="2:16" ht="5" customHeight="1" x14ac:dyDescent="0.25">
      <c r="J57" s="8"/>
      <c r="O57" s="8"/>
    </row>
    <row r="58" spans="2:16" x14ac:dyDescent="0.25">
      <c r="B58" s="2" t="s">
        <v>67</v>
      </c>
      <c r="H58" s="3">
        <f>'3 Scenarier'!S260</f>
        <v>0</v>
      </c>
      <c r="I58" s="2" t="s">
        <v>25</v>
      </c>
      <c r="J58" s="8">
        <f>'3 Scenarier'!V260</f>
        <v>0</v>
      </c>
      <c r="K58" s="2" t="s">
        <v>254</v>
      </c>
      <c r="M58" s="3">
        <f>'3 Scenarier'!AF260</f>
        <v>0</v>
      </c>
      <c r="N58" s="2" t="s">
        <v>25</v>
      </c>
      <c r="O58" s="8">
        <f>'3 Scenarier'!AI260</f>
        <v>0</v>
      </c>
      <c r="P58" s="2" t="s">
        <v>254</v>
      </c>
    </row>
    <row r="59" spans="2:16" ht="5" customHeight="1" x14ac:dyDescent="0.25">
      <c r="J59" s="8"/>
      <c r="O59" s="8"/>
    </row>
    <row r="60" spans="2:16" x14ac:dyDescent="0.25">
      <c r="B60" s="2" t="s">
        <v>123</v>
      </c>
      <c r="H60" s="3">
        <f>'3 Scenarier'!S262+'3 Scenarier'!S264</f>
        <v>0</v>
      </c>
      <c r="I60" s="2" t="s">
        <v>25</v>
      </c>
      <c r="J60" s="8">
        <f>'3 Scenarier'!V262+'3 Scenarier'!V264</f>
        <v>0</v>
      </c>
      <c r="K60" s="2" t="s">
        <v>254</v>
      </c>
      <c r="M60" s="3">
        <f>'3 Scenarier'!AF262+'3 Scenarier'!AF264</f>
        <v>0</v>
      </c>
      <c r="N60" s="2" t="s">
        <v>25</v>
      </c>
      <c r="O60" s="8">
        <f>'3 Scenarier'!AI262+'3 Scenarier'!AI264</f>
        <v>0</v>
      </c>
      <c r="P60" s="2" t="s">
        <v>254</v>
      </c>
    </row>
    <row r="61" spans="2:16" ht="5" customHeight="1" x14ac:dyDescent="0.25">
      <c r="J61" s="8"/>
      <c r="O61" s="8"/>
    </row>
    <row r="62" spans="2:16" x14ac:dyDescent="0.25">
      <c r="B62" s="2" t="s">
        <v>246</v>
      </c>
      <c r="H62" s="3">
        <f>'3 Scenarier'!S244+'3 Scenarier'!S246+'3 Scenarier'!S248+'3 Scenarier'!S250+'3 Scenarier'!S252+'3 Scenarier'!S254+'3 Scenarier'!S256+'3 Scenarier'!S258</f>
        <v>0</v>
      </c>
      <c r="I62" s="2" t="s">
        <v>25</v>
      </c>
      <c r="J62" s="8">
        <f>'3 Scenarier'!V244+'3 Scenarier'!V246+'3 Scenarier'!V248+'3 Scenarier'!V250+'3 Scenarier'!V252+'3 Scenarier'!V254+'3 Scenarier'!V256+'3 Scenarier'!V258</f>
        <v>0</v>
      </c>
      <c r="K62" s="2" t="s">
        <v>254</v>
      </c>
      <c r="M62" s="3">
        <f>'3 Scenarier'!AF244+'3 Scenarier'!AF246+'3 Scenarier'!AF248+'3 Scenarier'!AF250+'3 Scenarier'!AF252+'3 Scenarier'!AF254+'3 Scenarier'!AF256+'3 Scenarier'!AF258</f>
        <v>0</v>
      </c>
      <c r="N62" s="2" t="s">
        <v>25</v>
      </c>
      <c r="O62" s="8">
        <f>'3 Scenarier'!AI244+'3 Scenarier'!AI246+'3 Scenarier'!AI248+'3 Scenarier'!AI250+'3 Scenarier'!AI252+'3 Scenarier'!AI254+'3 Scenarier'!AI256+'3 Scenarier'!AI258</f>
        <v>0</v>
      </c>
      <c r="P62" s="2" t="s">
        <v>254</v>
      </c>
    </row>
    <row r="63" spans="2:16" ht="5" customHeight="1" x14ac:dyDescent="0.25">
      <c r="J63" s="8"/>
      <c r="O63" s="8"/>
    </row>
    <row r="64" spans="2:16" x14ac:dyDescent="0.25">
      <c r="B64" s="2" t="s">
        <v>66</v>
      </c>
      <c r="H64" s="3">
        <f>'3 Scenarier'!S266+'3 Scenarier'!S268+'3 Scenarier'!S270+'3 Scenarier'!S272</f>
        <v>0</v>
      </c>
      <c r="I64" s="2" t="s">
        <v>25</v>
      </c>
      <c r="J64" s="8">
        <f>'3 Scenarier'!V266+'3 Scenarier'!V268+'3 Scenarier'!V270+'3 Scenarier'!V272</f>
        <v>0</v>
      </c>
      <c r="K64" s="2" t="s">
        <v>254</v>
      </c>
      <c r="M64" s="3">
        <f>'3 Scenarier'!AF266+'3 Scenarier'!AF268+'3 Scenarier'!AF270+'3 Scenarier'!AF272</f>
        <v>0</v>
      </c>
      <c r="N64" s="2" t="s">
        <v>25</v>
      </c>
      <c r="O64" s="8">
        <f>'3 Scenarier'!AI266+'3 Scenarier'!AI268+'3 Scenarier'!AI270+'3 Scenarier'!AI272</f>
        <v>0</v>
      </c>
      <c r="P64" s="2" t="s">
        <v>254</v>
      </c>
    </row>
    <row r="65" spans="2:16" ht="5" customHeight="1" x14ac:dyDescent="0.25">
      <c r="J65" s="8"/>
      <c r="O65" s="8"/>
    </row>
    <row r="66" spans="2:16" x14ac:dyDescent="0.25">
      <c r="B66" s="2" t="s">
        <v>247</v>
      </c>
      <c r="H66" s="3">
        <f>'3 Scenarier'!S274+'3 Scenarier'!S276+'3 Scenarier'!S278+'3 Scenarier'!S280</f>
        <v>0</v>
      </c>
      <c r="I66" s="2" t="s">
        <v>25</v>
      </c>
      <c r="J66" s="8">
        <f>'3 Scenarier'!V274+'3 Scenarier'!V276+'3 Scenarier'!V278+'3 Scenarier'!V280</f>
        <v>0</v>
      </c>
      <c r="K66" s="2" t="s">
        <v>254</v>
      </c>
      <c r="M66" s="3">
        <f>'3 Scenarier'!AF274+'3 Scenarier'!AF276+'3 Scenarier'!AF278+'3 Scenarier'!AF280</f>
        <v>0</v>
      </c>
      <c r="N66" s="2" t="s">
        <v>25</v>
      </c>
      <c r="O66" s="8">
        <f>'3 Scenarier'!AI274+'3 Scenarier'!AI276+'3 Scenarier'!AI278+'3 Scenarier'!AI280</f>
        <v>0</v>
      </c>
      <c r="P66" s="2" t="s">
        <v>254</v>
      </c>
    </row>
    <row r="67" spans="2:16" ht="5" customHeight="1" x14ac:dyDescent="0.25">
      <c r="J67" s="8"/>
      <c r="O67" s="8"/>
    </row>
    <row r="68" spans="2:16" x14ac:dyDescent="0.25">
      <c r="B68" s="2" t="s">
        <v>159</v>
      </c>
      <c r="H68" s="3">
        <f>IF('3 Scenarier'!$C$90=0,0,('3 Scenarier'!Q198+'3 Scenarier'!Q284)*100/'3 Scenarier'!$C$90)</f>
        <v>0</v>
      </c>
      <c r="I68" s="2" t="s">
        <v>47</v>
      </c>
      <c r="J68" s="8">
        <f>'3 Scenarier'!V286+'3 Scenarier'!V288+'3 Scenarier'!V290+'3 Scenarier'!V292+'3 Scenarier'!V294+'3 Scenarier'!V296+'3 Scenarier'!V298+'3 Scenarier'!V300+'3 Scenarier'!V302+'3 Scenarier'!V304</f>
        <v>0</v>
      </c>
      <c r="K68" s="2" t="s">
        <v>254</v>
      </c>
      <c r="M68" s="3">
        <f>IF('3 Scenarier'!$C$90=0,0,('3 Scenarier'!AD198+'3 Scenarier'!AD284)*100/'3 Scenarier'!$C$90)</f>
        <v>0</v>
      </c>
      <c r="N68" s="2" t="s">
        <v>47</v>
      </c>
      <c r="O68" s="8">
        <f>'3 Scenarier'!AI286+'3 Scenarier'!AI288+'3 Scenarier'!AI290+'3 Scenarier'!AI292+'3 Scenarier'!AI294+'3 Scenarier'!AI296+'3 Scenarier'!AI298+'3 Scenarier'!AI300+'3 Scenarier'!AI302+'3 Scenarier'!AI304</f>
        <v>0</v>
      </c>
      <c r="P68" s="2" t="s">
        <v>254</v>
      </c>
    </row>
    <row r="69" spans="2:16" ht="5" customHeight="1" x14ac:dyDescent="0.25">
      <c r="J69" s="8"/>
      <c r="O69" s="8"/>
    </row>
    <row r="70" spans="2:16" x14ac:dyDescent="0.25">
      <c r="B70" s="5" t="s">
        <v>259</v>
      </c>
      <c r="J70" s="9">
        <f>'3 Scenarier'!V306</f>
        <v>0</v>
      </c>
      <c r="K70" s="5" t="s">
        <v>254</v>
      </c>
      <c r="O70" s="9">
        <f>'3 Scenarier'!AI306</f>
        <v>0</v>
      </c>
      <c r="P70" s="5" t="s">
        <v>254</v>
      </c>
    </row>
    <row r="71" spans="2:16" ht="5" customHeight="1" x14ac:dyDescent="0.25">
      <c r="J71" s="8"/>
      <c r="K71" s="5"/>
      <c r="O71" s="8"/>
      <c r="P71" s="5"/>
    </row>
    <row r="72" spans="2:16" x14ac:dyDescent="0.25">
      <c r="B72" s="5" t="s">
        <v>265</v>
      </c>
      <c r="J72" s="9">
        <f>IF($C$15=0,0,J70/$C$15)</f>
        <v>0</v>
      </c>
      <c r="K72" s="5" t="s">
        <v>254</v>
      </c>
      <c r="O72" s="9">
        <f>IF($C$15=0,0,O70/$C$15)</f>
        <v>0</v>
      </c>
      <c r="P72" s="5" t="s">
        <v>254</v>
      </c>
    </row>
  </sheetData>
  <sheetProtection sheet="1" objects="1" scenarios="1"/>
  <mergeCells count="9">
    <mergeCell ref="M34:P34"/>
    <mergeCell ref="C4:H4"/>
    <mergeCell ref="C6:H6"/>
    <mergeCell ref="C8:H8"/>
    <mergeCell ref="E10:H10"/>
    <mergeCell ref="H34:K34"/>
    <mergeCell ref="L4:P4"/>
    <mergeCell ref="L6:P6"/>
    <mergeCell ref="L8:P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33DAF-0E59-4F95-B34B-546CFDE58A3E}">
  <dimension ref="A3:X65"/>
  <sheetViews>
    <sheetView topLeftCell="C40" workbookViewId="0">
      <selection activeCell="K13" sqref="K13"/>
    </sheetView>
  </sheetViews>
  <sheetFormatPr defaultRowHeight="11.5" x14ac:dyDescent="0.25"/>
  <cols>
    <col min="1" max="1" width="11.3984375" customWidth="1"/>
  </cols>
  <sheetData>
    <row r="3" spans="1:3" x14ac:dyDescent="0.25">
      <c r="A3" t="s">
        <v>222</v>
      </c>
    </row>
    <row r="4" spans="1:3" x14ac:dyDescent="0.25">
      <c r="A4" t="s">
        <v>223</v>
      </c>
    </row>
    <row r="7" spans="1:3" x14ac:dyDescent="0.25">
      <c r="A7" s="145" t="s">
        <v>296</v>
      </c>
      <c r="B7" t="s">
        <v>101</v>
      </c>
      <c r="C7" t="s">
        <v>298</v>
      </c>
    </row>
    <row r="8" spans="1:3" x14ac:dyDescent="0.25">
      <c r="A8" t="s">
        <v>0</v>
      </c>
      <c r="B8">
        <v>115</v>
      </c>
      <c r="C8">
        <f>IF('9 Kvotereduktion'!C19&lt;&gt;"",'9 Kvotereduktion'!C19,'Ark1'!B8)</f>
        <v>115</v>
      </c>
    </row>
    <row r="9" spans="1:3" x14ac:dyDescent="0.25">
      <c r="A9" t="s">
        <v>158</v>
      </c>
      <c r="B9">
        <v>110</v>
      </c>
      <c r="C9">
        <f>IF('9 Kvotereduktion'!C21&lt;&gt;"",'9 Kvotereduktion'!C21,'Ark1'!B9)</f>
        <v>110</v>
      </c>
    </row>
    <row r="10" spans="1:3" x14ac:dyDescent="0.25">
      <c r="A10" t="s">
        <v>157</v>
      </c>
      <c r="B10">
        <v>100</v>
      </c>
      <c r="C10">
        <f>IF('9 Kvotereduktion'!C23&lt;&gt;"",'9 Kvotereduktion'!C23,'Ark1'!B10)</f>
        <v>100</v>
      </c>
    </row>
    <row r="11" spans="1:3" x14ac:dyDescent="0.25">
      <c r="A11" t="s">
        <v>297</v>
      </c>
      <c r="B11">
        <v>270</v>
      </c>
      <c r="C11">
        <f>IF('9 Kvotereduktion'!C25&lt;&gt;"",'9 Kvotereduktion'!C25,'Ark1'!B11)</f>
        <v>270</v>
      </c>
    </row>
    <row r="13" spans="1:3" x14ac:dyDescent="0.25">
      <c r="A13" t="s">
        <v>288</v>
      </c>
      <c r="B13">
        <v>6.5</v>
      </c>
      <c r="C13">
        <f>IF('9 Kvotereduktion'!C27&lt;&gt;"",'9 Kvotereduktion'!C27,'Ark1'!B13)</f>
        <v>6.5</v>
      </c>
    </row>
    <row r="14" spans="1:3" x14ac:dyDescent="0.25">
      <c r="A14" t="s">
        <v>301</v>
      </c>
      <c r="B14">
        <v>3.25</v>
      </c>
      <c r="C14">
        <f>IF('9 Kvotereduktion'!C29&lt;&gt;"",'9 Kvotereduktion'!C29,'Ark1'!B14)</f>
        <v>3.25</v>
      </c>
    </row>
    <row r="16" spans="1:3" x14ac:dyDescent="0.25">
      <c r="B16" t="s">
        <v>300</v>
      </c>
    </row>
    <row r="18" spans="2:24" x14ac:dyDescent="0.25">
      <c r="B18" t="s">
        <v>0</v>
      </c>
      <c r="G18" t="s">
        <v>157</v>
      </c>
      <c r="L18" t="s">
        <v>3</v>
      </c>
      <c r="Q18" t="s">
        <v>158</v>
      </c>
      <c r="V18" t="s">
        <v>157</v>
      </c>
    </row>
    <row r="19" spans="2:24" x14ac:dyDescent="0.25">
      <c r="B19" t="s">
        <v>179</v>
      </c>
      <c r="C19" t="s">
        <v>16</v>
      </c>
      <c r="D19" t="s">
        <v>174</v>
      </c>
      <c r="E19" t="s">
        <v>175</v>
      </c>
      <c r="G19" t="s">
        <v>179</v>
      </c>
      <c r="H19" t="s">
        <v>16</v>
      </c>
      <c r="I19" t="s">
        <v>174</v>
      </c>
      <c r="J19" t="s">
        <v>175</v>
      </c>
      <c r="L19" t="s">
        <v>179</v>
      </c>
      <c r="M19" t="s">
        <v>16</v>
      </c>
      <c r="N19" t="s">
        <v>174</v>
      </c>
      <c r="O19" t="s">
        <v>175</v>
      </c>
      <c r="Q19" t="s">
        <v>179</v>
      </c>
      <c r="R19" t="s">
        <v>16</v>
      </c>
      <c r="S19" t="s">
        <v>174</v>
      </c>
      <c r="T19" t="s">
        <v>175</v>
      </c>
      <c r="V19" t="s">
        <v>179</v>
      </c>
      <c r="W19" t="s">
        <v>16</v>
      </c>
      <c r="X19" t="s">
        <v>174</v>
      </c>
    </row>
    <row r="20" spans="2:24" x14ac:dyDescent="0.25">
      <c r="B20" t="s">
        <v>161</v>
      </c>
      <c r="C20" s="147">
        <v>-3.5968404062505202</v>
      </c>
      <c r="D20" s="147">
        <v>27.406624095702682</v>
      </c>
      <c r="E20" s="147">
        <v>32.29076472070301</v>
      </c>
      <c r="G20" t="s">
        <v>161</v>
      </c>
      <c r="H20" s="147">
        <v>11.84929889666364</v>
      </c>
      <c r="I20" s="147">
        <v>42.747364949464099</v>
      </c>
      <c r="J20" s="147">
        <v>49.386252238789893</v>
      </c>
      <c r="L20" t="s">
        <v>161</v>
      </c>
      <c r="M20" s="147">
        <v>63.656994422000935</v>
      </c>
      <c r="N20" s="147">
        <v>63.656994422000935</v>
      </c>
      <c r="O20" s="147">
        <v>68.711204422001174</v>
      </c>
      <c r="Q20" t="s">
        <v>161</v>
      </c>
      <c r="R20" s="147">
        <v>8.6607632153481973</v>
      </c>
      <c r="S20" s="147">
        <v>28.9139623768815</v>
      </c>
      <c r="T20" s="147">
        <v>34.041437693370881</v>
      </c>
      <c r="V20" t="s">
        <v>161</v>
      </c>
      <c r="W20" s="147"/>
      <c r="X20" s="147"/>
    </row>
    <row r="21" spans="2:24" x14ac:dyDescent="0.25">
      <c r="B21" t="s">
        <v>162</v>
      </c>
      <c r="C21" s="147">
        <v>20.205629281251277</v>
      </c>
      <c r="D21" s="147">
        <v>50.405316732422762</v>
      </c>
      <c r="E21" s="147">
        <v>57.471488607422543</v>
      </c>
      <c r="G21" t="s">
        <v>162</v>
      </c>
      <c r="H21" s="147">
        <v>28.399964032915705</v>
      </c>
      <c r="I21" s="147">
        <v>58.4512540631913</v>
      </c>
      <c r="J21" s="147">
        <v>66.855978852517183</v>
      </c>
      <c r="L21" t="s">
        <v>162</v>
      </c>
      <c r="M21" s="147">
        <v>89.06736326599912</v>
      </c>
      <c r="N21" s="147">
        <v>89.06736326599912</v>
      </c>
      <c r="O21" s="147">
        <v>95.129993265998564</v>
      </c>
      <c r="Q21" t="s">
        <v>162</v>
      </c>
      <c r="R21" s="147">
        <v>21.948028545325087</v>
      </c>
      <c r="S21" s="147">
        <v>41.630554382462378</v>
      </c>
      <c r="T21" s="147">
        <v>48.039013948951833</v>
      </c>
      <c r="V21" t="s">
        <v>162</v>
      </c>
      <c r="W21" s="147"/>
      <c r="X21" s="147"/>
    </row>
    <row r="22" spans="2:24" x14ac:dyDescent="0.25">
      <c r="B22" t="s">
        <v>163</v>
      </c>
      <c r="C22" s="147">
        <v>44.008098968750346</v>
      </c>
      <c r="D22" s="147">
        <v>73.031700287109743</v>
      </c>
      <c r="E22" s="147">
        <v>82.279903412109888</v>
      </c>
      <c r="G22" t="s">
        <v>163</v>
      </c>
      <c r="H22" s="147">
        <v>44.950629169163221</v>
      </c>
      <c r="I22" s="147">
        <v>73.888280984726407</v>
      </c>
      <c r="J22" s="147">
        <v>84.058843274052379</v>
      </c>
      <c r="L22" t="s">
        <v>163</v>
      </c>
      <c r="M22" s="147">
        <v>114.47773210999912</v>
      </c>
      <c r="N22" s="147">
        <v>114.47773210999912</v>
      </c>
      <c r="O22" s="147">
        <v>121.54878210999959</v>
      </c>
      <c r="Q22" t="s">
        <v>163</v>
      </c>
      <c r="R22" s="147">
        <v>35.235293875298794</v>
      </c>
      <c r="S22" s="147">
        <v>54.176038916846665</v>
      </c>
      <c r="T22" s="147">
        <v>61.865482733335739</v>
      </c>
      <c r="V22" t="s">
        <v>163</v>
      </c>
      <c r="W22" s="147"/>
      <c r="X22" s="147"/>
    </row>
    <row r="23" spans="2:24" x14ac:dyDescent="0.25">
      <c r="B23" t="s">
        <v>164</v>
      </c>
      <c r="C23" s="147">
        <v>67.810568656247597</v>
      </c>
      <c r="D23" s="147">
        <v>95.285774759763626</v>
      </c>
      <c r="E23" s="147">
        <v>106.71600913476323</v>
      </c>
      <c r="G23" t="s">
        <v>164</v>
      </c>
      <c r="H23" s="147">
        <v>61.501294305414376</v>
      </c>
      <c r="I23" s="147">
        <v>89.058445714078516</v>
      </c>
      <c r="J23" s="147">
        <v>100.99484550340458</v>
      </c>
      <c r="L23" t="s">
        <v>164</v>
      </c>
      <c r="M23" s="147">
        <v>139.88810095400004</v>
      </c>
      <c r="N23" s="147">
        <v>139.88810095400004</v>
      </c>
      <c r="O23" s="147">
        <v>147.96757095399971</v>
      </c>
      <c r="Q23" t="s">
        <v>164</v>
      </c>
      <c r="R23" s="147">
        <v>48.522559205272955</v>
      </c>
      <c r="S23" s="147">
        <v>66.550415980037542</v>
      </c>
      <c r="T23" s="147">
        <v>75.520844046527145</v>
      </c>
      <c r="V23" t="s">
        <v>164</v>
      </c>
      <c r="W23" s="147"/>
      <c r="X23" s="147"/>
    </row>
    <row r="24" spans="2:24" x14ac:dyDescent="0.25">
      <c r="B24" t="s">
        <v>165</v>
      </c>
      <c r="C24" s="147">
        <v>91.613038343752123</v>
      </c>
      <c r="D24" s="147">
        <v>117.1675401503926</v>
      </c>
      <c r="E24" s="147">
        <v>130.77980577539256</v>
      </c>
      <c r="G24" t="s">
        <v>165</v>
      </c>
      <c r="H24" s="147">
        <v>78.051959441664621</v>
      </c>
      <c r="I24" s="147">
        <v>103.96174825124126</v>
      </c>
      <c r="J24" s="147">
        <v>117.6639855405665</v>
      </c>
      <c r="L24" t="s">
        <v>165</v>
      </c>
      <c r="M24" s="147">
        <v>165.29846979800004</v>
      </c>
      <c r="N24" s="147">
        <v>165.29846979800004</v>
      </c>
      <c r="O24" s="147">
        <v>174.38635979799983</v>
      </c>
      <c r="Q24" t="s">
        <v>165</v>
      </c>
      <c r="R24" s="147">
        <v>61.8098245352503</v>
      </c>
      <c r="S24" s="147">
        <v>78.753685572037739</v>
      </c>
      <c r="T24" s="147">
        <v>89.005097888526961</v>
      </c>
      <c r="V24" t="s">
        <v>165</v>
      </c>
      <c r="W24" s="147"/>
      <c r="X24" s="147"/>
    </row>
    <row r="25" spans="2:24" x14ac:dyDescent="0.25">
      <c r="B25" t="s">
        <v>166</v>
      </c>
      <c r="C25" s="147">
        <v>115.41550803125028</v>
      </c>
      <c r="D25" s="147">
        <v>138.67699645898483</v>
      </c>
      <c r="E25" s="147">
        <v>154.47129333398516</v>
      </c>
      <c r="G25" t="s">
        <v>166</v>
      </c>
      <c r="H25" s="147">
        <v>94.602624577914867</v>
      </c>
      <c r="I25" s="147">
        <v>118.59818859621737</v>
      </c>
      <c r="J25" s="147">
        <v>134.06626338554361</v>
      </c>
      <c r="L25" t="s">
        <v>166</v>
      </c>
      <c r="M25" s="147">
        <v>190.70883864200005</v>
      </c>
      <c r="N25" s="147">
        <v>190.70883864200005</v>
      </c>
      <c r="O25" s="147">
        <v>200.80514864200086</v>
      </c>
      <c r="Q25" t="s">
        <v>166</v>
      </c>
      <c r="R25" s="147">
        <v>75.097089865224461</v>
      </c>
      <c r="S25" s="147">
        <v>90.785847692840889</v>
      </c>
      <c r="T25" s="147">
        <v>102.31824425933019</v>
      </c>
      <c r="V25" t="s">
        <v>166</v>
      </c>
      <c r="W25" s="147"/>
      <c r="X25" s="147"/>
    </row>
    <row r="26" spans="2:24" x14ac:dyDescent="0.25">
      <c r="B26" t="s">
        <v>167</v>
      </c>
      <c r="C26" s="147">
        <v>139.21797771875026</v>
      </c>
      <c r="D26" s="147">
        <v>159.81414368554715</v>
      </c>
      <c r="E26" s="147">
        <v>177.79047181054693</v>
      </c>
      <c r="G26" t="s">
        <v>167</v>
      </c>
      <c r="H26" s="147">
        <v>111.1532897141642</v>
      </c>
      <c r="I26" s="147">
        <v>132.96776674900411</v>
      </c>
      <c r="J26" s="147">
        <v>150.20167903832953</v>
      </c>
      <c r="L26" t="s">
        <v>167</v>
      </c>
      <c r="M26" s="147">
        <v>216.11920748600005</v>
      </c>
      <c r="N26" s="147">
        <v>216.11920748600005</v>
      </c>
      <c r="O26" s="147">
        <v>227.22393748599916</v>
      </c>
      <c r="Q26" t="s">
        <v>167</v>
      </c>
      <c r="R26" s="147">
        <v>88.384355195199078</v>
      </c>
      <c r="S26" s="147">
        <v>102.64690234245063</v>
      </c>
      <c r="T26" s="147">
        <v>115.46028315894</v>
      </c>
      <c r="V26" t="s">
        <v>167</v>
      </c>
      <c r="W26" s="147"/>
      <c r="X26" s="147"/>
    </row>
    <row r="27" spans="2:24" x14ac:dyDescent="0.25">
      <c r="B27" t="s">
        <v>168</v>
      </c>
      <c r="C27" s="147">
        <v>163.02044740624888</v>
      </c>
      <c r="D27" s="147">
        <v>180.57898183007683</v>
      </c>
      <c r="E27" s="147">
        <v>200.73734120507697</v>
      </c>
      <c r="G27" t="s">
        <v>168</v>
      </c>
      <c r="H27" s="147">
        <v>127.70395485041445</v>
      </c>
      <c r="I27" s="147">
        <v>147.07048270960513</v>
      </c>
      <c r="J27" s="147">
        <v>166.07023249893109</v>
      </c>
      <c r="L27" t="s">
        <v>168</v>
      </c>
      <c r="M27" s="147">
        <v>241.52957633000005</v>
      </c>
      <c r="N27" s="147">
        <v>241.52957633000005</v>
      </c>
      <c r="O27" s="147">
        <v>253.64272633000019</v>
      </c>
      <c r="Q27" t="s">
        <v>168</v>
      </c>
      <c r="R27" s="147">
        <v>101.67162052517369</v>
      </c>
      <c r="S27" s="147">
        <v>114.33684952086696</v>
      </c>
      <c r="T27" s="147">
        <v>128.43121458735641</v>
      </c>
      <c r="V27" t="s">
        <v>168</v>
      </c>
      <c r="W27" s="147"/>
      <c r="X27" s="147"/>
    </row>
    <row r="28" spans="2:24" x14ac:dyDescent="0.25">
      <c r="B28" t="s">
        <v>169</v>
      </c>
      <c r="C28" s="147">
        <v>186.82291709374931</v>
      </c>
      <c r="D28" s="147">
        <v>200.9715108925775</v>
      </c>
      <c r="E28" s="147">
        <v>223.31190151757755</v>
      </c>
      <c r="G28" t="s">
        <v>169</v>
      </c>
      <c r="H28" s="147">
        <v>144.25461998666469</v>
      </c>
      <c r="I28" s="147">
        <v>160.9063364780186</v>
      </c>
      <c r="J28" s="147">
        <v>181.67192376734465</v>
      </c>
      <c r="L28" t="s">
        <v>169</v>
      </c>
      <c r="M28" s="147">
        <v>266.93994517400006</v>
      </c>
      <c r="N28" s="147">
        <v>266.93994517400006</v>
      </c>
      <c r="O28" s="147">
        <v>280.06151517400031</v>
      </c>
      <c r="Q28" t="s">
        <v>169</v>
      </c>
      <c r="R28" s="147">
        <v>114.95888585514922</v>
      </c>
      <c r="S28" s="147">
        <v>125.8556892280908</v>
      </c>
      <c r="T28" s="147">
        <v>141.23103854458031</v>
      </c>
      <c r="V28" t="s">
        <v>169</v>
      </c>
      <c r="W28" s="147"/>
      <c r="X28" s="147"/>
    </row>
    <row r="29" spans="2:24" x14ac:dyDescent="0.25">
      <c r="B29" t="s">
        <v>170</v>
      </c>
      <c r="C29" s="147">
        <v>210.62538678125111</v>
      </c>
      <c r="D29" s="147">
        <v>220.9917308730478</v>
      </c>
      <c r="E29" s="147">
        <v>245.51415274804776</v>
      </c>
      <c r="G29" t="s">
        <v>170</v>
      </c>
      <c r="H29" s="147">
        <v>160.80528512291312</v>
      </c>
      <c r="I29" s="147">
        <v>174.47532805424225</v>
      </c>
      <c r="J29" s="147">
        <v>197.00675284356794</v>
      </c>
      <c r="L29" t="s">
        <v>170</v>
      </c>
      <c r="M29" s="147">
        <v>292.35031401800097</v>
      </c>
      <c r="N29" s="147">
        <v>292.35031401800097</v>
      </c>
      <c r="O29" s="147">
        <v>306.48030401800133</v>
      </c>
      <c r="Q29" t="s">
        <v>170</v>
      </c>
      <c r="R29" s="147">
        <v>128.24615118512475</v>
      </c>
      <c r="S29" s="147">
        <v>137.20342146411986</v>
      </c>
      <c r="T29" s="147">
        <v>153.85975503060899</v>
      </c>
      <c r="V29" t="s">
        <v>170</v>
      </c>
      <c r="W29" s="147"/>
      <c r="X29" s="147"/>
    </row>
    <row r="31" spans="2:24" x14ac:dyDescent="0.25">
      <c r="B31" t="s">
        <v>178</v>
      </c>
      <c r="C31" t="s">
        <v>16</v>
      </c>
      <c r="D31" t="s">
        <v>174</v>
      </c>
      <c r="E31" t="s">
        <v>175</v>
      </c>
      <c r="G31" t="s">
        <v>178</v>
      </c>
      <c r="H31" t="s">
        <v>16</v>
      </c>
      <c r="I31" t="s">
        <v>174</v>
      </c>
      <c r="J31" t="s">
        <v>175</v>
      </c>
      <c r="L31" t="s">
        <v>178</v>
      </c>
      <c r="M31" t="s">
        <v>16</v>
      </c>
      <c r="N31" t="s">
        <v>174</v>
      </c>
      <c r="O31" t="s">
        <v>175</v>
      </c>
      <c r="Q31" t="s">
        <v>178</v>
      </c>
      <c r="R31" t="s">
        <v>16</v>
      </c>
      <c r="S31" t="s">
        <v>174</v>
      </c>
      <c r="T31" t="s">
        <v>175</v>
      </c>
      <c r="V31" t="s">
        <v>178</v>
      </c>
      <c r="W31" t="s">
        <v>16</v>
      </c>
      <c r="X31" t="s">
        <v>174</v>
      </c>
    </row>
    <row r="32" spans="2:24" x14ac:dyDescent="0.25">
      <c r="B32" t="s">
        <v>161</v>
      </c>
      <c r="C32" s="147">
        <v>-3.2981282882501546</v>
      </c>
      <c r="D32" s="147">
        <v>36.991685659859286</v>
      </c>
      <c r="E32" s="147">
        <v>42.08197128485881</v>
      </c>
      <c r="G32" t="s">
        <v>161</v>
      </c>
      <c r="H32" s="147">
        <v>12.374155372388486</v>
      </c>
      <c r="I32" s="147">
        <v>47.676779794501272</v>
      </c>
      <c r="J32" s="147">
        <v>54.510366207422521</v>
      </c>
      <c r="L32" t="s">
        <v>161</v>
      </c>
      <c r="M32" s="147">
        <v>68.379854459426497</v>
      </c>
      <c r="N32" s="147">
        <v>68.379854459426497</v>
      </c>
      <c r="O32" s="147">
        <v>73.776265887998306</v>
      </c>
      <c r="Q32" t="s">
        <v>161</v>
      </c>
      <c r="R32" s="147">
        <v>8.2195830342097906</v>
      </c>
      <c r="S32" s="147">
        <v>30.91445374032719</v>
      </c>
      <c r="T32" s="147">
        <v>35.874067248305437</v>
      </c>
      <c r="V32" t="s">
        <v>161</v>
      </c>
      <c r="W32" s="147"/>
      <c r="X32" s="147"/>
    </row>
    <row r="33" spans="2:24" x14ac:dyDescent="0.25">
      <c r="B33" t="s">
        <v>162</v>
      </c>
      <c r="C33" s="147">
        <v>22.164490795249549</v>
      </c>
      <c r="D33" s="147">
        <v>61.580811509515115</v>
      </c>
      <c r="E33" s="147">
        <v>69.005318384515704</v>
      </c>
      <c r="G33" t="s">
        <v>162</v>
      </c>
      <c r="H33" s="147">
        <v>29.790070681836369</v>
      </c>
      <c r="I33" s="147">
        <v>64.194403783947564</v>
      </c>
      <c r="J33" s="147">
        <v>72.886143696869112</v>
      </c>
      <c r="L33" t="s">
        <v>162</v>
      </c>
      <c r="M33" s="147">
        <v>96.996946235431096</v>
      </c>
      <c r="N33" s="147">
        <v>96.996946235431096</v>
      </c>
      <c r="O33" s="147">
        <v>103.52903766400232</v>
      </c>
      <c r="Q33" t="s">
        <v>162</v>
      </c>
      <c r="R33" s="147">
        <v>20.742276647186372</v>
      </c>
      <c r="S33" s="147">
        <v>42.904019906626672</v>
      </c>
      <c r="T33" s="147">
        <v>49.070907664606239</v>
      </c>
      <c r="V33" t="s">
        <v>162</v>
      </c>
      <c r="W33" s="147"/>
      <c r="X33" s="147"/>
    </row>
    <row r="34" spans="2:24" x14ac:dyDescent="0.25">
      <c r="B34" t="s">
        <v>163</v>
      </c>
      <c r="C34" s="147">
        <v>47.627109878750161</v>
      </c>
      <c r="D34" s="147">
        <v>85.758005664078155</v>
      </c>
      <c r="E34" s="147">
        <v>95.516733789077989</v>
      </c>
      <c r="G34" t="s">
        <v>163</v>
      </c>
      <c r="H34" s="147">
        <v>47.205985991287889</v>
      </c>
      <c r="I34" s="147">
        <v>80.423967527061905</v>
      </c>
      <c r="J34" s="147">
        <v>90.973860939982842</v>
      </c>
      <c r="L34" t="s">
        <v>163</v>
      </c>
      <c r="M34" s="147">
        <v>125.61403801142842</v>
      </c>
      <c r="N34" s="147">
        <v>125.61403801142842</v>
      </c>
      <c r="O34" s="147">
        <v>133.28180943999996</v>
      </c>
      <c r="Q34" t="s">
        <v>163</v>
      </c>
      <c r="R34" s="147">
        <v>33.264970260162045</v>
      </c>
      <c r="S34" s="147">
        <v>54.737032784556504</v>
      </c>
      <c r="T34" s="147">
        <v>62.111194792534661</v>
      </c>
      <c r="V34" t="s">
        <v>163</v>
      </c>
      <c r="W34" s="147"/>
      <c r="X34" s="147"/>
    </row>
    <row r="35" spans="2:24" x14ac:dyDescent="0.25">
      <c r="B35" t="s">
        <v>164</v>
      </c>
      <c r="C35" s="147">
        <v>73.089728962248955</v>
      </c>
      <c r="D35" s="147">
        <v>109.52326812354568</v>
      </c>
      <c r="E35" s="147">
        <v>121.61621749854567</v>
      </c>
      <c r="G35" t="s">
        <v>164</v>
      </c>
      <c r="H35" s="147">
        <v>64.6219013007385</v>
      </c>
      <c r="I35" s="147">
        <v>96.365471023837017</v>
      </c>
      <c r="J35" s="147">
        <v>108.77351793675825</v>
      </c>
      <c r="L35" t="s">
        <v>164</v>
      </c>
      <c r="M35" s="147">
        <v>154.23112978742938</v>
      </c>
      <c r="N35" s="147">
        <v>154.23112978742938</v>
      </c>
      <c r="O35" s="147">
        <v>163.03458121600033</v>
      </c>
      <c r="Q35" t="s">
        <v>164</v>
      </c>
      <c r="R35" s="147">
        <v>45.787663873134989</v>
      </c>
      <c r="S35" s="147">
        <v>66.413492374114867</v>
      </c>
      <c r="T35" s="147">
        <v>74.994928632093433</v>
      </c>
      <c r="V35" t="s">
        <v>164</v>
      </c>
      <c r="W35" s="147"/>
      <c r="X35" s="147"/>
    </row>
    <row r="36" spans="2:24" x14ac:dyDescent="0.25">
      <c r="B36" t="s">
        <v>165</v>
      </c>
      <c r="C36" s="147">
        <v>98.552348045752296</v>
      </c>
      <c r="D36" s="147">
        <v>132.87659888792405</v>
      </c>
      <c r="E36" s="147">
        <v>147.30376951292419</v>
      </c>
      <c r="G36" t="s">
        <v>165</v>
      </c>
      <c r="H36" s="147">
        <v>82.037816610187292</v>
      </c>
      <c r="I36" s="147">
        <v>112.0189142742729</v>
      </c>
      <c r="J36" s="147">
        <v>126.28511468719444</v>
      </c>
      <c r="L36" t="s">
        <v>165</v>
      </c>
      <c r="M36" s="147">
        <v>182.84822156342761</v>
      </c>
      <c r="N36" s="147">
        <v>182.84822156342761</v>
      </c>
      <c r="O36" s="147">
        <v>192.78735299199889</v>
      </c>
      <c r="Q36" t="s">
        <v>165</v>
      </c>
      <c r="R36" s="147">
        <v>58.310357486110661</v>
      </c>
      <c r="S36" s="147">
        <v>77.933398675306307</v>
      </c>
      <c r="T36" s="147">
        <v>87.722109183285284</v>
      </c>
      <c r="V36" t="s">
        <v>165</v>
      </c>
      <c r="W36" s="147"/>
      <c r="X36" s="147"/>
    </row>
    <row r="37" spans="2:24" x14ac:dyDescent="0.25">
      <c r="B37" t="s">
        <v>166</v>
      </c>
      <c r="C37" s="147">
        <v>124.01496712924836</v>
      </c>
      <c r="D37" s="147">
        <v>155.81799795720235</v>
      </c>
      <c r="E37" s="147">
        <v>172.57938983220265</v>
      </c>
      <c r="G37" t="s">
        <v>166</v>
      </c>
      <c r="H37" s="147">
        <v>99.453731919639722</v>
      </c>
      <c r="I37" s="147">
        <v>127.38429727837502</v>
      </c>
      <c r="J37" s="147">
        <v>143.50865119129685</v>
      </c>
      <c r="L37" t="s">
        <v>166</v>
      </c>
      <c r="M37" s="147">
        <v>211.46531333942858</v>
      </c>
      <c r="N37" s="147">
        <v>211.46531333942858</v>
      </c>
      <c r="O37" s="147">
        <v>222.54012476800017</v>
      </c>
      <c r="Q37" t="s">
        <v>166</v>
      </c>
      <c r="R37" s="147">
        <v>70.833051099085424</v>
      </c>
      <c r="S37" s="147">
        <v>89.296751688129916</v>
      </c>
      <c r="T37" s="147">
        <v>100.29273644610839</v>
      </c>
      <c r="V37" t="s">
        <v>166</v>
      </c>
      <c r="W37" s="147"/>
      <c r="X37" s="147"/>
    </row>
    <row r="38" spans="2:24" x14ac:dyDescent="0.25">
      <c r="B38" t="s">
        <v>167</v>
      </c>
      <c r="C38" s="147">
        <v>149.47758621275079</v>
      </c>
      <c r="D38" s="147">
        <v>178.34746533139059</v>
      </c>
      <c r="E38" s="147">
        <v>197.44307845639014</v>
      </c>
      <c r="G38" t="s">
        <v>167</v>
      </c>
      <c r="H38" s="147">
        <v>116.8696472290867</v>
      </c>
      <c r="I38" s="147">
        <v>142.46162003613426</v>
      </c>
      <c r="J38" s="147">
        <v>160.44412744905549</v>
      </c>
      <c r="L38" t="s">
        <v>167</v>
      </c>
      <c r="M38" s="147">
        <v>240.08240511542863</v>
      </c>
      <c r="N38" s="147">
        <v>240.08240511542863</v>
      </c>
      <c r="O38" s="147">
        <v>252.29289654400054</v>
      </c>
      <c r="Q38" t="s">
        <v>167</v>
      </c>
      <c r="R38" s="147">
        <v>83.355744712062005</v>
      </c>
      <c r="S38" s="147">
        <v>100.50355141258478</v>
      </c>
      <c r="T38" s="147">
        <v>112.70681042056367</v>
      </c>
      <c r="V38" t="s">
        <v>167</v>
      </c>
      <c r="W38" s="147"/>
      <c r="X38" s="147"/>
    </row>
    <row r="39" spans="2:24" x14ac:dyDescent="0.25">
      <c r="B39" t="s">
        <v>168</v>
      </c>
      <c r="C39" s="147">
        <v>174.94020529624868</v>
      </c>
      <c r="D39" s="147">
        <v>200.46500101048332</v>
      </c>
      <c r="E39" s="147">
        <v>221.89483538548302</v>
      </c>
      <c r="G39" t="s">
        <v>168</v>
      </c>
      <c r="H39" s="147">
        <v>134.28556253853731</v>
      </c>
      <c r="I39" s="147">
        <v>157.25088254755883</v>
      </c>
      <c r="J39" s="147">
        <v>177.09154346048035</v>
      </c>
      <c r="L39" t="s">
        <v>168</v>
      </c>
      <c r="M39" s="147">
        <v>268.69949689142777</v>
      </c>
      <c r="N39" s="147">
        <v>268.69949689142777</v>
      </c>
      <c r="O39" s="147">
        <v>282.04566831999909</v>
      </c>
      <c r="Q39" t="s">
        <v>168</v>
      </c>
      <c r="R39" s="147">
        <v>95.878438325034949</v>
      </c>
      <c r="S39" s="147">
        <v>111.55379784866727</v>
      </c>
      <c r="T39" s="147">
        <v>124.96433110664657</v>
      </c>
      <c r="V39" t="s">
        <v>168</v>
      </c>
      <c r="W39" s="147"/>
      <c r="X39" s="147"/>
    </row>
    <row r="40" spans="2:24" x14ac:dyDescent="0.25">
      <c r="B40" t="s">
        <v>169</v>
      </c>
      <c r="C40" s="147">
        <v>200.40282437975111</v>
      </c>
      <c r="D40" s="147">
        <v>222.17060499448598</v>
      </c>
      <c r="E40" s="147">
        <v>245.93466061948584</v>
      </c>
      <c r="G40" t="s">
        <v>169</v>
      </c>
      <c r="H40" s="147">
        <v>151.70147784798792</v>
      </c>
      <c r="I40" s="147">
        <v>171.7520848126469</v>
      </c>
      <c r="J40" s="147">
        <v>193.45089922556781</v>
      </c>
      <c r="L40" t="s">
        <v>169</v>
      </c>
      <c r="M40" s="147">
        <v>297.31658866743237</v>
      </c>
      <c r="N40" s="147">
        <v>297.31658866743237</v>
      </c>
      <c r="O40" s="147">
        <v>311.79844009600401</v>
      </c>
      <c r="Q40" t="s">
        <v>169</v>
      </c>
      <c r="R40" s="147">
        <v>108.40113193801062</v>
      </c>
      <c r="S40" s="147">
        <v>122.44749099638557</v>
      </c>
      <c r="T40" s="147">
        <v>137.06529850436391</v>
      </c>
      <c r="V40" t="s">
        <v>169</v>
      </c>
      <c r="W40" s="147"/>
      <c r="X40" s="147"/>
    </row>
    <row r="41" spans="2:24" x14ac:dyDescent="0.25">
      <c r="B41" t="s">
        <v>170</v>
      </c>
      <c r="C41" s="147">
        <v>225.8654434632499</v>
      </c>
      <c r="D41" s="147">
        <v>243.4642772833904</v>
      </c>
      <c r="E41" s="147">
        <v>269.56255415839041</v>
      </c>
      <c r="G41" t="s">
        <v>170</v>
      </c>
      <c r="H41" s="147">
        <v>169.11739315743762</v>
      </c>
      <c r="I41" s="147">
        <v>185.96522683139574</v>
      </c>
      <c r="J41" s="147">
        <v>209.52219474431695</v>
      </c>
      <c r="L41" t="s">
        <v>170</v>
      </c>
      <c r="M41" s="147">
        <v>325.93368044342424</v>
      </c>
      <c r="N41" s="147">
        <v>325.93368044342424</v>
      </c>
      <c r="O41" s="147">
        <v>341.55121187199529</v>
      </c>
      <c r="Q41" t="s">
        <v>170</v>
      </c>
      <c r="R41" s="147">
        <v>120.9238255509872</v>
      </c>
      <c r="S41" s="147">
        <v>133.18463085573467</v>
      </c>
      <c r="T41" s="147">
        <v>149.00971261371342</v>
      </c>
      <c r="V41" t="s">
        <v>170</v>
      </c>
      <c r="W41" s="147"/>
      <c r="X41" s="147"/>
    </row>
    <row r="43" spans="2:24" x14ac:dyDescent="0.25">
      <c r="B43" t="s">
        <v>177</v>
      </c>
      <c r="C43" t="s">
        <v>16</v>
      </c>
      <c r="D43" t="s">
        <v>174</v>
      </c>
      <c r="E43" t="s">
        <v>175</v>
      </c>
      <c r="G43" t="s">
        <v>177</v>
      </c>
      <c r="H43" t="s">
        <v>16</v>
      </c>
      <c r="I43" t="s">
        <v>174</v>
      </c>
      <c r="J43" t="s">
        <v>175</v>
      </c>
      <c r="L43" t="s">
        <v>177</v>
      </c>
      <c r="M43" t="s">
        <v>16</v>
      </c>
      <c r="N43" t="s">
        <v>174</v>
      </c>
      <c r="O43" t="s">
        <v>175</v>
      </c>
      <c r="Q43" t="s">
        <v>177</v>
      </c>
      <c r="R43" t="s">
        <v>16</v>
      </c>
      <c r="S43" t="s">
        <v>174</v>
      </c>
      <c r="T43" t="s">
        <v>175</v>
      </c>
      <c r="V43" t="s">
        <v>177</v>
      </c>
      <c r="W43" t="s">
        <v>16</v>
      </c>
      <c r="X43" t="s">
        <v>174</v>
      </c>
    </row>
    <row r="44" spans="2:24" x14ac:dyDescent="0.25">
      <c r="B44" t="s">
        <v>161</v>
      </c>
      <c r="C44" s="147">
        <v>-1.5341800182504812</v>
      </c>
      <c r="D44" s="147">
        <v>57.82641412504563</v>
      </c>
      <c r="E44" s="147">
        <v>63.912624750046234</v>
      </c>
      <c r="G44" t="s">
        <v>161</v>
      </c>
      <c r="H44" s="147">
        <v>14.156061644713191</v>
      </c>
      <c r="I44" s="147">
        <v>62.930238195126549</v>
      </c>
      <c r="J44" s="147">
        <v>70.404718509733357</v>
      </c>
      <c r="L44" t="s">
        <v>161</v>
      </c>
      <c r="M44" s="147">
        <v>71.581344037715098</v>
      </c>
      <c r="N44" s="147">
        <v>71.581344037715098</v>
      </c>
      <c r="O44" s="147">
        <v>77.207989752001595</v>
      </c>
      <c r="Q44" t="s">
        <v>161</v>
      </c>
      <c r="R44" s="147">
        <v>9.1132703848888923</v>
      </c>
      <c r="S44" s="147">
        <v>38.656811520236261</v>
      </c>
      <c r="T44" s="147">
        <v>43.953240645236292</v>
      </c>
      <c r="V44" t="s">
        <v>161</v>
      </c>
      <c r="W44" s="147"/>
      <c r="X44" s="147"/>
    </row>
    <row r="45" spans="2:24" x14ac:dyDescent="0.25">
      <c r="B45" t="s">
        <v>162</v>
      </c>
      <c r="C45" s="147">
        <v>32.415719685250224</v>
      </c>
      <c r="D45" s="147">
        <v>90.526700065829573</v>
      </c>
      <c r="E45" s="147">
        <v>99.725181940828406</v>
      </c>
      <c r="G45" t="s">
        <v>162</v>
      </c>
      <c r="H45" s="147">
        <v>34.536285469514041</v>
      </c>
      <c r="I45" s="147">
        <v>82.231714517554792</v>
      </c>
      <c r="J45" s="147">
        <v>91.880618832161417</v>
      </c>
      <c r="L45" t="s">
        <v>162</v>
      </c>
      <c r="M45" s="147">
        <v>102.44208354171315</v>
      </c>
      <c r="N45" s="147">
        <v>102.44208354171315</v>
      </c>
      <c r="O45" s="147">
        <v>109.29344925599798</v>
      </c>
      <c r="Q45" t="s">
        <v>162</v>
      </c>
      <c r="R45" s="147">
        <v>23.187761408663391</v>
      </c>
      <c r="S45" s="147">
        <v>52.121526923090642</v>
      </c>
      <c r="T45" s="147">
        <v>58.774834298090354</v>
      </c>
      <c r="V45" t="s">
        <v>162</v>
      </c>
      <c r="W45" s="147"/>
      <c r="X45" s="147"/>
    </row>
    <row r="46" spans="2:24" x14ac:dyDescent="0.25">
      <c r="B46" t="s">
        <v>163</v>
      </c>
      <c r="C46" s="147">
        <v>66.36561938874911</v>
      </c>
      <c r="D46" s="147">
        <v>122.59278293263924</v>
      </c>
      <c r="E46" s="147">
        <v>134.90353605763994</v>
      </c>
      <c r="G46" t="s">
        <v>163</v>
      </c>
      <c r="H46" s="147">
        <v>54.916509294315802</v>
      </c>
      <c r="I46" s="147">
        <v>101.16853993518271</v>
      </c>
      <c r="J46" s="147">
        <v>112.99186824978915</v>
      </c>
      <c r="L46" t="s">
        <v>163</v>
      </c>
      <c r="M46" s="147">
        <v>133.30282304571483</v>
      </c>
      <c r="N46" s="147">
        <v>133.30282304571483</v>
      </c>
      <c r="O46" s="147">
        <v>141.37890875999983</v>
      </c>
      <c r="Q46" t="s">
        <v>163</v>
      </c>
      <c r="R46" s="147">
        <v>37.262252432436981</v>
      </c>
      <c r="S46" s="147">
        <v>65.399705488527616</v>
      </c>
      <c r="T46" s="147">
        <v>73.40989111352792</v>
      </c>
      <c r="V46" t="s">
        <v>163</v>
      </c>
      <c r="W46" s="147"/>
      <c r="X46" s="147"/>
    </row>
    <row r="47" spans="2:24" x14ac:dyDescent="0.25">
      <c r="B47" t="s">
        <v>164</v>
      </c>
      <c r="C47" s="147">
        <v>100.31551909225163</v>
      </c>
      <c r="D47" s="147">
        <v>154.02466272548554</v>
      </c>
      <c r="E47" s="147">
        <v>169.44768710048447</v>
      </c>
      <c r="G47" t="s">
        <v>164</v>
      </c>
      <c r="H47" s="147">
        <v>75.296733119113014</v>
      </c>
      <c r="I47" s="147">
        <v>119.74071444800757</v>
      </c>
      <c r="J47" s="147">
        <v>133.73846676261473</v>
      </c>
      <c r="L47" t="s">
        <v>164</v>
      </c>
      <c r="M47" s="147">
        <v>164.16356254971288</v>
      </c>
      <c r="N47" s="147">
        <v>164.16356254971288</v>
      </c>
      <c r="O47" s="147">
        <v>173.46436826399986</v>
      </c>
      <c r="Q47" t="s">
        <v>164</v>
      </c>
      <c r="R47" s="147">
        <v>51.336743456211479</v>
      </c>
      <c r="S47" s="147">
        <v>78.491347216546274</v>
      </c>
      <c r="T47" s="147">
        <v>87.858411091546259</v>
      </c>
      <c r="V47" t="s">
        <v>164</v>
      </c>
      <c r="W47" s="147"/>
      <c r="X47" s="147"/>
    </row>
    <row r="48" spans="2:24" x14ac:dyDescent="0.25">
      <c r="B48" t="s">
        <v>165</v>
      </c>
      <c r="C48" s="147">
        <v>134.26541879575052</v>
      </c>
      <c r="D48" s="147">
        <v>184.82233944436121</v>
      </c>
      <c r="E48" s="147">
        <v>203.357635069362</v>
      </c>
      <c r="G48" t="s">
        <v>165</v>
      </c>
      <c r="H48" s="147">
        <v>95.676956943915684</v>
      </c>
      <c r="I48" s="147">
        <v>137.94823805603755</v>
      </c>
      <c r="J48" s="147">
        <v>154.12041437064454</v>
      </c>
      <c r="L48" t="s">
        <v>165</v>
      </c>
      <c r="M48" s="147">
        <v>195.02430205371638</v>
      </c>
      <c r="N48" s="147">
        <v>195.02430205371638</v>
      </c>
      <c r="O48" s="147">
        <v>205.54982776800171</v>
      </c>
      <c r="Q48" t="s">
        <v>165</v>
      </c>
      <c r="R48" s="147">
        <v>65.411234479989616</v>
      </c>
      <c r="S48" s="147">
        <v>91.396452107149344</v>
      </c>
      <c r="T48" s="147">
        <v>102.12039423214901</v>
      </c>
      <c r="V48" t="s">
        <v>165</v>
      </c>
      <c r="W48" s="147"/>
      <c r="X48" s="147"/>
    </row>
    <row r="49" spans="2:24" x14ac:dyDescent="0.25">
      <c r="B49" t="s">
        <v>166</v>
      </c>
      <c r="C49" s="147">
        <v>168.21531849924941</v>
      </c>
      <c r="D49" s="147">
        <v>214.98581308926441</v>
      </c>
      <c r="E49" s="147">
        <v>236.63337996426435</v>
      </c>
      <c r="G49" t="s">
        <v>166</v>
      </c>
      <c r="H49" s="147">
        <v>116.05718076871472</v>
      </c>
      <c r="I49" s="147">
        <v>155.79111075926266</v>
      </c>
      <c r="J49" s="147">
        <v>174.13771107386947</v>
      </c>
      <c r="L49" t="s">
        <v>166</v>
      </c>
      <c r="M49" s="147">
        <v>225.88504155771261</v>
      </c>
      <c r="N49" s="147">
        <v>225.88504155771261</v>
      </c>
      <c r="O49" s="147">
        <v>237.6352872719981</v>
      </c>
      <c r="Q49" t="s">
        <v>166</v>
      </c>
      <c r="R49" s="147">
        <v>79.485725503760477</v>
      </c>
      <c r="S49" s="147">
        <v>104.11502016032591</v>
      </c>
      <c r="T49" s="147">
        <v>116.19584053532617</v>
      </c>
      <c r="V49" t="s">
        <v>166</v>
      </c>
      <c r="W49" s="147"/>
      <c r="X49" s="147"/>
    </row>
    <row r="50" spans="2:24" x14ac:dyDescent="0.25">
      <c r="B50" t="s">
        <v>167</v>
      </c>
      <c r="C50" s="147">
        <v>202.16521820275011</v>
      </c>
      <c r="D50" s="147">
        <v>244.51508366020335</v>
      </c>
      <c r="E50" s="147">
        <v>269.27492178520333</v>
      </c>
      <c r="G50" t="s">
        <v>167</v>
      </c>
      <c r="H50" s="147">
        <v>136.43740459351557</v>
      </c>
      <c r="I50" s="147">
        <v>173.26933255769109</v>
      </c>
      <c r="J50" s="147">
        <v>193.79035687229771</v>
      </c>
      <c r="L50" t="s">
        <v>167</v>
      </c>
      <c r="M50" s="147">
        <v>256.74578106171612</v>
      </c>
      <c r="N50" s="147">
        <v>256.74578106171612</v>
      </c>
      <c r="O50" s="147">
        <v>269.72074677600176</v>
      </c>
      <c r="Q50" t="s">
        <v>167</v>
      </c>
      <c r="R50" s="147">
        <v>93.560216527538614</v>
      </c>
      <c r="S50" s="147">
        <v>116.64705137609144</v>
      </c>
      <c r="T50" s="147">
        <v>130.08475000109138</v>
      </c>
      <c r="V50" t="s">
        <v>167</v>
      </c>
      <c r="W50" s="147"/>
      <c r="X50" s="147"/>
    </row>
    <row r="51" spans="2:24" x14ac:dyDescent="0.25">
      <c r="B51" t="s">
        <v>168</v>
      </c>
      <c r="C51" s="147">
        <v>236.115117906249</v>
      </c>
      <c r="D51" s="147">
        <v>273.41015115717073</v>
      </c>
      <c r="E51" s="147">
        <v>301.28226053217077</v>
      </c>
      <c r="G51" t="s">
        <v>168</v>
      </c>
      <c r="H51" s="147">
        <v>156.81762841831551</v>
      </c>
      <c r="I51" s="147">
        <v>190.38290345131736</v>
      </c>
      <c r="J51" s="147">
        <v>213.0783517659238</v>
      </c>
      <c r="L51" t="s">
        <v>168</v>
      </c>
      <c r="M51" s="147">
        <v>287.60652056571325</v>
      </c>
      <c r="N51" s="147">
        <v>287.60652056571325</v>
      </c>
      <c r="O51" s="147">
        <v>301.80620627999906</v>
      </c>
      <c r="Q51" t="s">
        <v>168</v>
      </c>
      <c r="R51" s="147">
        <v>107.6347075513122</v>
      </c>
      <c r="S51" s="147">
        <v>128.9925457544341</v>
      </c>
      <c r="T51" s="147">
        <v>143.78712262943463</v>
      </c>
      <c r="V51" t="s">
        <v>168</v>
      </c>
      <c r="W51" s="147"/>
      <c r="X51" s="147"/>
    </row>
    <row r="52" spans="2:24" x14ac:dyDescent="0.25">
      <c r="B52" t="s">
        <v>169</v>
      </c>
      <c r="C52" s="147">
        <v>270.06501760974788</v>
      </c>
      <c r="D52" s="147">
        <v>301.67101558017021</v>
      </c>
      <c r="E52" s="147">
        <v>332.65539620517029</v>
      </c>
      <c r="G52" t="s">
        <v>169</v>
      </c>
      <c r="H52" s="147">
        <v>177.19785224311181</v>
      </c>
      <c r="I52" s="147">
        <v>207.13182344014149</v>
      </c>
      <c r="J52" s="147">
        <v>232.00169575474774</v>
      </c>
      <c r="L52" t="s">
        <v>169</v>
      </c>
      <c r="M52" s="147">
        <v>318.46726006971221</v>
      </c>
      <c r="N52" s="147">
        <v>318.46726006971221</v>
      </c>
      <c r="O52" s="147">
        <v>333.89166578399818</v>
      </c>
      <c r="Q52" t="s">
        <v>169</v>
      </c>
      <c r="R52" s="147">
        <v>121.7091985750867</v>
      </c>
      <c r="S52" s="147">
        <v>141.15150329535845</v>
      </c>
      <c r="T52" s="147">
        <v>157.30295842035775</v>
      </c>
      <c r="V52" t="s">
        <v>169</v>
      </c>
      <c r="W52" s="147"/>
      <c r="X52" s="147"/>
    </row>
    <row r="53" spans="2:24" x14ac:dyDescent="0.25">
      <c r="B53" t="s">
        <v>170</v>
      </c>
      <c r="C53" s="147">
        <v>304.01491731325223</v>
      </c>
      <c r="D53" s="147">
        <v>329.2976769292045</v>
      </c>
      <c r="E53" s="147">
        <v>363.39432880420463</v>
      </c>
      <c r="G53" t="s">
        <v>170</v>
      </c>
      <c r="H53" s="147">
        <v>197.5780760679163</v>
      </c>
      <c r="I53" s="147">
        <v>223.51609252417256</v>
      </c>
      <c r="J53" s="147">
        <v>250.56038883877955</v>
      </c>
      <c r="L53" t="s">
        <v>170</v>
      </c>
      <c r="M53" s="147">
        <v>349.32799957371662</v>
      </c>
      <c r="N53" s="147">
        <v>349.32799957371662</v>
      </c>
      <c r="O53" s="147">
        <v>365.97712528800184</v>
      </c>
      <c r="Q53" t="s">
        <v>170</v>
      </c>
      <c r="R53" s="147">
        <v>135.78368959886302</v>
      </c>
      <c r="S53" s="147">
        <v>153.1239239988663</v>
      </c>
      <c r="T53" s="147">
        <v>170.63225737386711</v>
      </c>
      <c r="V53" t="s">
        <v>170</v>
      </c>
      <c r="W53" s="147"/>
      <c r="X53" s="147"/>
    </row>
    <row r="55" spans="2:24" x14ac:dyDescent="0.25">
      <c r="B55" t="s">
        <v>176</v>
      </c>
      <c r="C55" t="s">
        <v>16</v>
      </c>
      <c r="D55" t="s">
        <v>174</v>
      </c>
      <c r="E55" t="s">
        <v>175</v>
      </c>
      <c r="G55" t="s">
        <v>176</v>
      </c>
      <c r="H55" t="s">
        <v>16</v>
      </c>
      <c r="I55" t="s">
        <v>174</v>
      </c>
      <c r="J55" t="s">
        <v>175</v>
      </c>
      <c r="L55" t="s">
        <v>176</v>
      </c>
      <c r="M55" t="s">
        <v>16</v>
      </c>
      <c r="N55" t="s">
        <v>174</v>
      </c>
      <c r="O55" t="s">
        <v>175</v>
      </c>
      <c r="Q55" t="s">
        <v>176</v>
      </c>
      <c r="R55" t="s">
        <v>16</v>
      </c>
      <c r="S55" t="s">
        <v>174</v>
      </c>
      <c r="T55" t="s">
        <v>175</v>
      </c>
      <c r="V55" t="s">
        <v>176</v>
      </c>
      <c r="W55" t="s">
        <v>16</v>
      </c>
      <c r="X55" t="s">
        <v>174</v>
      </c>
    </row>
    <row r="56" spans="2:24" x14ac:dyDescent="0.25">
      <c r="B56" t="s">
        <v>161</v>
      </c>
      <c r="C56" s="147">
        <v>-0.59166854825343762</v>
      </c>
      <c r="D56" s="147">
        <v>65.736554460481784</v>
      </c>
      <c r="E56" s="147">
        <v>72.266690085481969</v>
      </c>
      <c r="G56" t="s">
        <v>161</v>
      </c>
      <c r="H56" s="147">
        <v>15.754762425931403</v>
      </c>
      <c r="I56" s="147">
        <v>70.589137697168553</v>
      </c>
      <c r="J56" s="147">
        <v>78.61561485166385</v>
      </c>
      <c r="L56" t="s">
        <v>161</v>
      </c>
      <c r="M56" s="147">
        <v>72.792816599945581</v>
      </c>
      <c r="N56" s="147">
        <v>72.792816599945581</v>
      </c>
      <c r="O56" s="147">
        <v>78.506233296373466</v>
      </c>
      <c r="Q56" t="s">
        <v>161</v>
      </c>
      <c r="R56" s="147">
        <v>9.8132692424460402</v>
      </c>
      <c r="S56" s="147">
        <v>42.512776869384652</v>
      </c>
      <c r="T56" s="147">
        <v>48.064684207151004</v>
      </c>
      <c r="V56" t="s">
        <v>161</v>
      </c>
      <c r="W56" s="147"/>
      <c r="X56" s="147"/>
    </row>
    <row r="57" spans="2:24" x14ac:dyDescent="0.25">
      <c r="B57" t="s">
        <v>162</v>
      </c>
      <c r="C57" s="147">
        <v>37.368704415252068</v>
      </c>
      <c r="D57" s="147">
        <v>102.25898275389227</v>
      </c>
      <c r="E57" s="147">
        <v>112.26903962889264</v>
      </c>
      <c r="G57" t="s">
        <v>162</v>
      </c>
      <c r="H57" s="147">
        <v>38.825115172978258</v>
      </c>
      <c r="I57" s="147">
        <v>92.411952520262275</v>
      </c>
      <c r="J57" s="147">
        <v>102.89987117475539</v>
      </c>
      <c r="L57" t="s">
        <v>162</v>
      </c>
      <c r="M57" s="147">
        <v>104.51675194269774</v>
      </c>
      <c r="N57" s="147">
        <v>104.51675194269774</v>
      </c>
      <c r="O57" s="147">
        <v>111.48914488912669</v>
      </c>
      <c r="Q57" t="s">
        <v>162</v>
      </c>
      <c r="R57" s="147">
        <v>25.111075013418485</v>
      </c>
      <c r="S57" s="147">
        <v>57.139179392645019</v>
      </c>
      <c r="T57" s="147">
        <v>64.165900980410697</v>
      </c>
      <c r="V57" t="s">
        <v>162</v>
      </c>
      <c r="W57" s="147"/>
      <c r="X57" s="147"/>
    </row>
    <row r="58" spans="2:24" x14ac:dyDescent="0.25">
      <c r="B58" t="s">
        <v>163</v>
      </c>
      <c r="C58" s="147">
        <v>75.32907737874848</v>
      </c>
      <c r="D58" s="147">
        <v>138.0315750159516</v>
      </c>
      <c r="E58" s="147">
        <v>151.52155314095035</v>
      </c>
      <c r="G58" t="s">
        <v>163</v>
      </c>
      <c r="H58" s="147">
        <v>61.89546792002875</v>
      </c>
      <c r="I58" s="147">
        <v>113.79558464372349</v>
      </c>
      <c r="J58" s="147">
        <v>126.74494479821806</v>
      </c>
      <c r="L58" t="s">
        <v>163</v>
      </c>
      <c r="M58" s="147">
        <v>136.24068728544444</v>
      </c>
      <c r="N58" s="147">
        <v>136.24068728544444</v>
      </c>
      <c r="O58" s="147">
        <v>144.47205648187264</v>
      </c>
      <c r="Q58" t="s">
        <v>163</v>
      </c>
      <c r="R58" s="147">
        <v>40.408880784395478</v>
      </c>
      <c r="S58" s="147">
        <v>71.554204163530812</v>
      </c>
      <c r="T58" s="147">
        <v>80.055740001296726</v>
      </c>
      <c r="V58" t="s">
        <v>163</v>
      </c>
      <c r="W58" s="147"/>
      <c r="X58" s="147"/>
    </row>
    <row r="59" spans="2:24" x14ac:dyDescent="0.25">
      <c r="B59" t="s">
        <v>164</v>
      </c>
      <c r="C59" s="147">
        <v>113.28945034225035</v>
      </c>
      <c r="D59" s="147">
        <v>173.05433124667252</v>
      </c>
      <c r="E59" s="147">
        <v>190.02423062167327</v>
      </c>
      <c r="G59" t="s">
        <v>164</v>
      </c>
      <c r="H59" s="147">
        <v>84.965820667081061</v>
      </c>
      <c r="I59" s="147">
        <v>134.74003406754855</v>
      </c>
      <c r="J59" s="147">
        <v>150.15083572204276</v>
      </c>
      <c r="L59" t="s">
        <v>164</v>
      </c>
      <c r="M59" s="147">
        <v>167.96462262819841</v>
      </c>
      <c r="N59" s="147">
        <v>167.96462262819841</v>
      </c>
      <c r="O59" s="147">
        <v>177.45496807462769</v>
      </c>
      <c r="Q59" t="s">
        <v>164</v>
      </c>
      <c r="R59" s="147">
        <v>55.706686555371562</v>
      </c>
      <c r="S59" s="147">
        <v>85.757851182032937</v>
      </c>
      <c r="T59" s="147">
        <v>95.734201269799087</v>
      </c>
      <c r="V59" t="s">
        <v>164</v>
      </c>
      <c r="W59" s="147"/>
      <c r="X59" s="147"/>
    </row>
    <row r="60" spans="2:24" x14ac:dyDescent="0.25">
      <c r="B60" t="s">
        <v>165</v>
      </c>
      <c r="C60" s="147">
        <v>151.24982330575222</v>
      </c>
      <c r="D60" s="147">
        <v>207.32725144604774</v>
      </c>
      <c r="E60" s="147">
        <v>227.77707207104686</v>
      </c>
      <c r="G60" t="s">
        <v>165</v>
      </c>
      <c r="H60" s="147">
        <v>108.03617341412973</v>
      </c>
      <c r="I60" s="147">
        <v>155.24530079173201</v>
      </c>
      <c r="J60" s="147">
        <v>173.11754394622676</v>
      </c>
      <c r="L60" t="s">
        <v>165</v>
      </c>
      <c r="M60" s="147">
        <v>199.68855797094511</v>
      </c>
      <c r="N60" s="147">
        <v>199.68855797094511</v>
      </c>
      <c r="O60" s="147">
        <v>210.43787966737364</v>
      </c>
      <c r="Q60" t="s">
        <v>165</v>
      </c>
      <c r="R60" s="147">
        <v>71.004492326342188</v>
      </c>
      <c r="S60" s="147">
        <v>99.750120448148664</v>
      </c>
      <c r="T60" s="147">
        <v>111.20128478591414</v>
      </c>
      <c r="V60" t="s">
        <v>165</v>
      </c>
      <c r="W60" s="147"/>
      <c r="X60" s="147"/>
    </row>
    <row r="61" spans="2:24" x14ac:dyDescent="0.25">
      <c r="B61" t="s">
        <v>166</v>
      </c>
      <c r="C61" s="147">
        <v>189.21019626924681</v>
      </c>
      <c r="D61" s="147">
        <v>240.85033561407545</v>
      </c>
      <c r="E61" s="147">
        <v>264.78007748907658</v>
      </c>
      <c r="G61" t="s">
        <v>166</v>
      </c>
      <c r="H61" s="147">
        <v>131.10652616117932</v>
      </c>
      <c r="I61" s="147">
        <v>175.31138481628113</v>
      </c>
      <c r="J61" s="147">
        <v>195.64506947077552</v>
      </c>
      <c r="L61" t="s">
        <v>166</v>
      </c>
      <c r="M61" s="147">
        <v>231.41249331369727</v>
      </c>
      <c r="N61" s="147">
        <v>231.41249331369727</v>
      </c>
      <c r="O61" s="147">
        <v>243.42079126012504</v>
      </c>
      <c r="Q61" t="s">
        <v>166</v>
      </c>
      <c r="R61" s="147">
        <v>86.302298097321</v>
      </c>
      <c r="S61" s="147">
        <v>113.53101196189164</v>
      </c>
      <c r="T61" s="147">
        <v>126.45699054965826</v>
      </c>
      <c r="V61" t="s">
        <v>166</v>
      </c>
      <c r="W61" s="147"/>
      <c r="X61" s="147"/>
    </row>
    <row r="62" spans="2:24" x14ac:dyDescent="0.25">
      <c r="B62" t="s">
        <v>167</v>
      </c>
      <c r="C62" s="147">
        <v>227.17056923275231</v>
      </c>
      <c r="D62" s="147">
        <v>273.62358375076838</v>
      </c>
      <c r="E62" s="147">
        <v>301.03324687576787</v>
      </c>
      <c r="G62" t="s">
        <v>167</v>
      </c>
      <c r="H62" s="147">
        <v>154.17687890822799</v>
      </c>
      <c r="I62" s="147">
        <v>194.93828614118866</v>
      </c>
      <c r="J62" s="147">
        <v>217.73341229568268</v>
      </c>
      <c r="L62" t="s">
        <v>167</v>
      </c>
      <c r="M62" s="147">
        <v>263.13642865644579</v>
      </c>
      <c r="N62" s="147">
        <v>263.13642865644579</v>
      </c>
      <c r="O62" s="147">
        <v>276.40370285287463</v>
      </c>
      <c r="Q62" t="s">
        <v>167</v>
      </c>
      <c r="R62" s="147">
        <v>101.60010386829617</v>
      </c>
      <c r="S62" s="147">
        <v>127.10052572324912</v>
      </c>
      <c r="T62" s="147">
        <v>141.50131856101507</v>
      </c>
      <c r="V62" t="s">
        <v>167</v>
      </c>
      <c r="W62" s="147"/>
      <c r="X62" s="147"/>
    </row>
    <row r="63" spans="2:24" x14ac:dyDescent="0.25">
      <c r="B63" t="s">
        <v>168</v>
      </c>
      <c r="C63" s="147">
        <v>265.13094219625054</v>
      </c>
      <c r="D63" s="147">
        <v>305.64699585611015</v>
      </c>
      <c r="E63" s="147">
        <v>336.53658023110984</v>
      </c>
      <c r="G63" t="s">
        <v>168</v>
      </c>
      <c r="H63" s="147">
        <v>177.24723165528121</v>
      </c>
      <c r="I63" s="147">
        <v>214.12600476646548</v>
      </c>
      <c r="J63" s="147">
        <v>239.38257242096006</v>
      </c>
      <c r="L63" t="s">
        <v>168</v>
      </c>
      <c r="M63" s="147">
        <v>294.86036399919794</v>
      </c>
      <c r="N63" s="147">
        <v>294.86036399919794</v>
      </c>
      <c r="O63" s="147">
        <v>309.38661444562786</v>
      </c>
      <c r="Q63" t="s">
        <v>168</v>
      </c>
      <c r="R63" s="147">
        <v>116.89790963927044</v>
      </c>
      <c r="S63" s="147">
        <v>140.45866173222566</v>
      </c>
      <c r="T63" s="147">
        <v>156.33426881999094</v>
      </c>
      <c r="V63" t="s">
        <v>168</v>
      </c>
      <c r="W63" s="147"/>
      <c r="X63" s="147"/>
    </row>
    <row r="64" spans="2:24" x14ac:dyDescent="0.25">
      <c r="B64" t="s">
        <v>169</v>
      </c>
      <c r="C64" s="147">
        <v>303.09131515974968</v>
      </c>
      <c r="D64" s="147">
        <v>336.92057193010805</v>
      </c>
      <c r="E64" s="147">
        <v>371.29007755510884</v>
      </c>
      <c r="G64" t="s">
        <v>169</v>
      </c>
      <c r="H64" s="147">
        <v>200.31758440232989</v>
      </c>
      <c r="I64" s="147">
        <v>232.8745406920998</v>
      </c>
      <c r="J64" s="147">
        <v>260.59254984659401</v>
      </c>
      <c r="L64" t="s">
        <v>169</v>
      </c>
      <c r="M64" s="147">
        <v>326.58429934194646</v>
      </c>
      <c r="N64" s="147">
        <v>326.58429934194646</v>
      </c>
      <c r="O64" s="147">
        <v>342.36952603837381</v>
      </c>
      <c r="Q64" t="s">
        <v>169</v>
      </c>
      <c r="R64" s="147">
        <v>132.19571541024379</v>
      </c>
      <c r="S64" s="147">
        <v>153.60541998881854</v>
      </c>
      <c r="T64" s="147">
        <v>170.95584132658496</v>
      </c>
      <c r="V64" t="s">
        <v>169</v>
      </c>
      <c r="W64" s="147"/>
      <c r="X64" s="147"/>
    </row>
    <row r="65" spans="2:24" x14ac:dyDescent="0.25">
      <c r="B65" t="s">
        <v>170</v>
      </c>
      <c r="C65" s="147">
        <v>341.051688123247</v>
      </c>
      <c r="D65" s="147">
        <v>367.44431197276299</v>
      </c>
      <c r="E65" s="147">
        <v>405.29373884776214</v>
      </c>
      <c r="G65" t="s">
        <v>170</v>
      </c>
      <c r="H65" s="147">
        <v>223.38793714937765</v>
      </c>
      <c r="I65" s="147">
        <v>251.18389391809524</v>
      </c>
      <c r="J65" s="147">
        <v>281.36334457258999</v>
      </c>
      <c r="L65" t="s">
        <v>170</v>
      </c>
      <c r="M65" s="147">
        <v>358.30823468469498</v>
      </c>
      <c r="N65" s="147">
        <v>358.30823468469498</v>
      </c>
      <c r="O65" s="147">
        <v>375.3524376311243</v>
      </c>
      <c r="Q65" t="s">
        <v>170</v>
      </c>
      <c r="R65" s="147">
        <v>147.49352118121988</v>
      </c>
      <c r="S65" s="147">
        <v>166.5408004930332</v>
      </c>
      <c r="T65" s="147">
        <v>185.36603608079895</v>
      </c>
      <c r="V65" t="s">
        <v>170</v>
      </c>
      <c r="W65" s="147"/>
      <c r="X65" s="1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A78D9-C27F-4880-89C7-437F64B91BE5}">
  <dimension ref="B1:AQ80"/>
  <sheetViews>
    <sheetView zoomScaleNormal="100" workbookViewId="0">
      <pane xSplit="2" ySplit="8" topLeftCell="C9" activePane="bottomRight" state="frozen"/>
      <selection pane="topRight" activeCell="C1" sqref="C1"/>
      <selection pane="bottomLeft" activeCell="A9" sqref="A9"/>
      <selection pane="bottomRight" activeCell="C10" sqref="C10"/>
    </sheetView>
  </sheetViews>
  <sheetFormatPr defaultRowHeight="11.5" x14ac:dyDescent="0.25"/>
  <cols>
    <col min="1" max="1" width="1.69921875" style="2" customWidth="1"/>
    <col min="2" max="2" width="30.69921875" style="2" customWidth="1"/>
    <col min="3" max="3" width="6.69921875" style="2" customWidth="1"/>
    <col min="4" max="4" width="1.69921875" style="2" customWidth="1"/>
    <col min="5" max="5" width="6.69921875" style="2" customWidth="1"/>
    <col min="6" max="6" width="1.69921875" style="2" customWidth="1"/>
    <col min="7" max="7" width="6.69921875" style="2" customWidth="1"/>
    <col min="8" max="8" width="2.69921875" style="2" customWidth="1"/>
    <col min="9" max="9" width="6.69921875" style="2" customWidth="1"/>
    <col min="10" max="10" width="1.69921875" style="2" customWidth="1"/>
    <col min="11" max="11" width="6.69921875" style="2" customWidth="1"/>
    <col min="12" max="12" width="1.69921875" style="2" customWidth="1"/>
    <col min="13" max="13" width="6.69921875" style="2" customWidth="1"/>
    <col min="14" max="14" width="2.69921875" style="2" customWidth="1"/>
    <col min="15" max="15" width="6.69921875" style="2" customWidth="1"/>
    <col min="16" max="16" width="1.69921875" style="2" customWidth="1"/>
    <col min="17" max="17" width="6.69921875" style="2" customWidth="1"/>
    <col min="18" max="18" width="1.69921875" style="2" customWidth="1"/>
    <col min="19" max="19" width="6.69921875" style="2" customWidth="1"/>
    <col min="20" max="20" width="2.69921875" style="2" customWidth="1"/>
    <col min="21" max="21" width="6.69921875" style="2" customWidth="1"/>
    <col min="22" max="22" width="1.69921875" style="2" customWidth="1"/>
    <col min="23" max="23" width="6.69921875" style="2" customWidth="1"/>
    <col min="24" max="24" width="1.69921875" style="2" customWidth="1"/>
    <col min="25" max="25" width="6.69921875" style="2" customWidth="1"/>
    <col min="26" max="26" width="2.69921875" style="2" customWidth="1"/>
    <col min="27" max="27" width="6.69921875" style="2" customWidth="1"/>
    <col min="28" max="28" width="1.69921875" style="2" customWidth="1"/>
    <col min="29" max="29" width="6.69921875" style="2" customWidth="1"/>
    <col min="30" max="30" width="1.69921875" style="2" customWidth="1"/>
    <col min="31" max="31" width="6.69921875" style="2" customWidth="1"/>
    <col min="32" max="32" width="2.69921875" style="2" customWidth="1"/>
    <col min="33" max="33" width="6.69921875" style="2" customWidth="1"/>
    <col min="34" max="34" width="1.69921875" style="2" customWidth="1"/>
    <col min="35" max="35" width="6.69921875" style="2" customWidth="1"/>
    <col min="36" max="36" width="1.69921875" style="2" customWidth="1"/>
    <col min="37" max="37" width="6.69921875" style="2" customWidth="1"/>
    <col min="38" max="38" width="2.69921875" style="2" customWidth="1"/>
    <col min="39" max="39" width="6.69921875" style="2" customWidth="1"/>
    <col min="40" max="40" width="2.69921875" style="2" customWidth="1"/>
    <col min="41" max="16384" width="8.796875" style="2"/>
  </cols>
  <sheetData>
    <row r="1" spans="2:43" ht="18" x14ac:dyDescent="0.4">
      <c r="B1" s="1" t="s">
        <v>42</v>
      </c>
    </row>
    <row r="3" spans="2:43" x14ac:dyDescent="0.25">
      <c r="B3" s="2" t="s">
        <v>320</v>
      </c>
    </row>
    <row r="5" spans="2:43" ht="12" thickBot="1" x14ac:dyDescent="0.3">
      <c r="C5" s="7"/>
      <c r="D5" s="7"/>
      <c r="E5" s="26">
        <v>2015</v>
      </c>
      <c r="F5" s="7"/>
      <c r="G5" s="7"/>
      <c r="I5" s="7"/>
      <c r="J5" s="7"/>
      <c r="K5" s="26">
        <v>2016</v>
      </c>
      <c r="L5" s="7"/>
      <c r="M5" s="7"/>
      <c r="O5" s="7"/>
      <c r="P5" s="7"/>
      <c r="Q5" s="26">
        <v>2017</v>
      </c>
      <c r="R5" s="7"/>
      <c r="S5" s="7"/>
      <c r="U5" s="7"/>
      <c r="V5" s="7"/>
      <c r="W5" s="26">
        <v>2018</v>
      </c>
      <c r="X5" s="7"/>
      <c r="Y5" s="7"/>
      <c r="AA5" s="7"/>
      <c r="AB5" s="7"/>
      <c r="AC5" s="26">
        <v>2019</v>
      </c>
      <c r="AD5" s="7"/>
      <c r="AE5" s="7"/>
      <c r="AG5" s="7"/>
      <c r="AH5" s="7"/>
      <c r="AI5" s="26">
        <v>2020</v>
      </c>
      <c r="AJ5" s="7"/>
      <c r="AK5" s="7"/>
      <c r="AM5" s="26">
        <v>2021</v>
      </c>
    </row>
    <row r="6" spans="2:43" ht="3" customHeight="1" x14ac:dyDescent="0.25"/>
    <row r="7" spans="2:43" x14ac:dyDescent="0.25">
      <c r="B7" s="5" t="s">
        <v>38</v>
      </c>
      <c r="C7" s="11" t="s">
        <v>18</v>
      </c>
      <c r="D7" s="11"/>
      <c r="E7" s="11" t="s">
        <v>16</v>
      </c>
      <c r="F7" s="11"/>
      <c r="G7" s="11" t="s">
        <v>17</v>
      </c>
      <c r="I7" s="11" t="s">
        <v>18</v>
      </c>
      <c r="J7" s="11"/>
      <c r="K7" s="11" t="s">
        <v>16</v>
      </c>
      <c r="L7" s="11"/>
      <c r="M7" s="11" t="s">
        <v>17</v>
      </c>
      <c r="O7" s="11" t="s">
        <v>18</v>
      </c>
      <c r="P7" s="11"/>
      <c r="Q7" s="11" t="s">
        <v>16</v>
      </c>
      <c r="R7" s="11"/>
      <c r="S7" s="11" t="s">
        <v>17</v>
      </c>
      <c r="U7" s="11" t="s">
        <v>18</v>
      </c>
      <c r="V7" s="11"/>
      <c r="W7" s="11" t="s">
        <v>16</v>
      </c>
      <c r="X7" s="11"/>
      <c r="Y7" s="11" t="s">
        <v>17</v>
      </c>
      <c r="AA7" s="11" t="s">
        <v>18</v>
      </c>
      <c r="AB7" s="11"/>
      <c r="AC7" s="11" t="s">
        <v>16</v>
      </c>
      <c r="AD7" s="11"/>
      <c r="AE7" s="11" t="s">
        <v>17</v>
      </c>
      <c r="AG7" s="11" t="s">
        <v>18</v>
      </c>
      <c r="AH7" s="11"/>
      <c r="AI7" s="11" t="s">
        <v>16</v>
      </c>
      <c r="AJ7" s="11"/>
      <c r="AK7" s="11" t="s">
        <v>17</v>
      </c>
      <c r="AM7" s="11" t="s">
        <v>18</v>
      </c>
      <c r="AN7" s="5"/>
      <c r="AO7" s="12"/>
      <c r="AP7" s="12"/>
      <c r="AQ7" s="12"/>
    </row>
    <row r="8" spans="2:43" x14ac:dyDescent="0.25">
      <c r="C8" s="11" t="s">
        <v>25</v>
      </c>
      <c r="D8" s="11"/>
      <c r="E8" s="11" t="s">
        <v>23</v>
      </c>
      <c r="F8" s="11"/>
      <c r="G8" s="11" t="s">
        <v>24</v>
      </c>
      <c r="I8" s="11" t="s">
        <v>25</v>
      </c>
      <c r="J8" s="11"/>
      <c r="K8" s="11" t="s">
        <v>23</v>
      </c>
      <c r="L8" s="11"/>
      <c r="M8" s="11" t="s">
        <v>24</v>
      </c>
      <c r="O8" s="11" t="s">
        <v>25</v>
      </c>
      <c r="P8" s="11"/>
      <c r="Q8" s="11" t="s">
        <v>23</v>
      </c>
      <c r="R8" s="11"/>
      <c r="S8" s="11" t="s">
        <v>24</v>
      </c>
      <c r="U8" s="11" t="s">
        <v>25</v>
      </c>
      <c r="V8" s="11"/>
      <c r="W8" s="11" t="s">
        <v>23</v>
      </c>
      <c r="X8" s="11"/>
      <c r="Y8" s="11" t="s">
        <v>24</v>
      </c>
      <c r="AA8" s="11" t="s">
        <v>25</v>
      </c>
      <c r="AB8" s="11"/>
      <c r="AC8" s="11" t="s">
        <v>23</v>
      </c>
      <c r="AD8" s="11"/>
      <c r="AE8" s="11" t="s">
        <v>24</v>
      </c>
      <c r="AG8" s="11" t="s">
        <v>25</v>
      </c>
      <c r="AH8" s="11"/>
      <c r="AI8" s="11" t="s">
        <v>23</v>
      </c>
      <c r="AJ8" s="11"/>
      <c r="AK8" s="11" t="s">
        <v>24</v>
      </c>
      <c r="AM8" s="11" t="s">
        <v>25</v>
      </c>
      <c r="AN8" s="5"/>
      <c r="AO8" s="12"/>
      <c r="AP8" s="12"/>
      <c r="AQ8" s="12"/>
    </row>
    <row r="9" spans="2:43" ht="5" customHeight="1" x14ac:dyDescent="0.25">
      <c r="AO9" s="13"/>
      <c r="AP9" s="13"/>
      <c r="AQ9" s="13"/>
    </row>
    <row r="10" spans="2:43" x14ac:dyDescent="0.25">
      <c r="B10" s="2" t="s">
        <v>0</v>
      </c>
      <c r="C10" s="21"/>
      <c r="D10" s="3"/>
      <c r="E10" s="21"/>
      <c r="G10" s="22"/>
      <c r="I10" s="21"/>
      <c r="J10" s="3"/>
      <c r="K10" s="21"/>
      <c r="M10" s="22"/>
      <c r="O10" s="21"/>
      <c r="P10" s="3"/>
      <c r="Q10" s="21"/>
      <c r="S10" s="22"/>
      <c r="U10" s="21"/>
      <c r="V10" s="3"/>
      <c r="W10" s="21"/>
      <c r="Y10" s="22"/>
      <c r="AA10" s="21"/>
      <c r="AB10" s="3"/>
      <c r="AC10" s="21"/>
      <c r="AE10" s="22"/>
      <c r="AG10" s="21"/>
      <c r="AH10" s="3"/>
      <c r="AI10" s="21"/>
      <c r="AK10" s="22"/>
      <c r="AM10" s="21"/>
      <c r="AN10" s="3"/>
      <c r="AO10" s="14"/>
      <c r="AP10" s="13"/>
      <c r="AQ10" s="15"/>
    </row>
    <row r="11" spans="2:43" ht="5" customHeight="1" x14ac:dyDescent="0.25">
      <c r="C11" s="3"/>
      <c r="D11" s="3"/>
      <c r="E11" s="3"/>
      <c r="G11" s="16"/>
      <c r="I11" s="3"/>
      <c r="J11" s="3"/>
      <c r="K11" s="3"/>
      <c r="M11" s="16"/>
      <c r="O11" s="3"/>
      <c r="P11" s="3"/>
      <c r="Q11" s="3"/>
      <c r="S11" s="16"/>
      <c r="U11" s="3"/>
      <c r="V11" s="3"/>
      <c r="W11" s="3"/>
      <c r="Y11" s="16"/>
      <c r="AA11" s="3"/>
      <c r="AB11" s="3"/>
      <c r="AC11" s="3"/>
      <c r="AE11" s="16"/>
      <c r="AG11" s="3"/>
      <c r="AH11" s="3"/>
      <c r="AI11" s="3"/>
      <c r="AK11" s="16"/>
      <c r="AM11" s="3"/>
      <c r="AN11" s="3"/>
      <c r="AO11" s="17"/>
      <c r="AP11" s="13"/>
      <c r="AQ11" s="18"/>
    </row>
    <row r="12" spans="2:43" x14ac:dyDescent="0.25">
      <c r="B12" s="2" t="s">
        <v>1</v>
      </c>
      <c r="C12" s="21"/>
      <c r="D12" s="3"/>
      <c r="E12" s="21"/>
      <c r="G12" s="22"/>
      <c r="I12" s="21"/>
      <c r="J12" s="3"/>
      <c r="K12" s="21"/>
      <c r="M12" s="22"/>
      <c r="O12" s="21"/>
      <c r="P12" s="3"/>
      <c r="Q12" s="21"/>
      <c r="S12" s="22"/>
      <c r="U12" s="21"/>
      <c r="V12" s="3"/>
      <c r="W12" s="21"/>
      <c r="Y12" s="22"/>
      <c r="AA12" s="21"/>
      <c r="AB12" s="3"/>
      <c r="AC12" s="21"/>
      <c r="AE12" s="22"/>
      <c r="AG12" s="21"/>
      <c r="AH12" s="3"/>
      <c r="AI12" s="21"/>
      <c r="AK12" s="22"/>
      <c r="AM12" s="21"/>
      <c r="AN12" s="3"/>
      <c r="AO12" s="14"/>
      <c r="AP12" s="13"/>
      <c r="AQ12" s="15"/>
    </row>
    <row r="13" spans="2:43" ht="5" customHeight="1" x14ac:dyDescent="0.25">
      <c r="C13" s="3"/>
      <c r="D13" s="3"/>
      <c r="E13" s="3"/>
      <c r="G13" s="16"/>
      <c r="I13" s="3"/>
      <c r="J13" s="3"/>
      <c r="K13" s="3"/>
      <c r="M13" s="16"/>
      <c r="O13" s="3"/>
      <c r="P13" s="3"/>
      <c r="Q13" s="3"/>
      <c r="S13" s="16"/>
      <c r="U13" s="3"/>
      <c r="V13" s="3"/>
      <c r="W13" s="3"/>
      <c r="Y13" s="16"/>
      <c r="AA13" s="3"/>
      <c r="AB13" s="3"/>
      <c r="AC13" s="3"/>
      <c r="AE13" s="16"/>
      <c r="AG13" s="3"/>
      <c r="AH13" s="3"/>
      <c r="AI13" s="3"/>
      <c r="AK13" s="16"/>
      <c r="AM13" s="3"/>
      <c r="AN13" s="3"/>
      <c r="AO13" s="17"/>
      <c r="AP13" s="13"/>
      <c r="AQ13" s="18"/>
    </row>
    <row r="14" spans="2:43" x14ac:dyDescent="0.25">
      <c r="B14" s="2" t="s">
        <v>2</v>
      </c>
      <c r="C14" s="21"/>
      <c r="D14" s="3"/>
      <c r="E14" s="21"/>
      <c r="G14" s="22"/>
      <c r="I14" s="21"/>
      <c r="J14" s="3"/>
      <c r="K14" s="21"/>
      <c r="M14" s="22"/>
      <c r="O14" s="21"/>
      <c r="P14" s="3"/>
      <c r="Q14" s="21"/>
      <c r="S14" s="22"/>
      <c r="U14" s="21"/>
      <c r="V14" s="3"/>
      <c r="W14" s="21"/>
      <c r="Y14" s="22"/>
      <c r="AA14" s="21"/>
      <c r="AB14" s="3"/>
      <c r="AC14" s="21"/>
      <c r="AE14" s="22"/>
      <c r="AG14" s="21"/>
      <c r="AH14" s="3"/>
      <c r="AI14" s="21"/>
      <c r="AK14" s="22"/>
      <c r="AM14" s="21"/>
      <c r="AN14" s="3"/>
      <c r="AO14" s="14"/>
      <c r="AP14" s="13"/>
      <c r="AQ14" s="15"/>
    </row>
    <row r="15" spans="2:43" ht="5" customHeight="1" x14ac:dyDescent="0.25">
      <c r="C15" s="3"/>
      <c r="D15" s="3"/>
      <c r="E15" s="3"/>
      <c r="G15" s="16"/>
      <c r="I15" s="3"/>
      <c r="J15" s="3"/>
      <c r="K15" s="3"/>
      <c r="M15" s="16"/>
      <c r="O15" s="3"/>
      <c r="P15" s="3"/>
      <c r="Q15" s="3"/>
      <c r="S15" s="16"/>
      <c r="U15" s="3"/>
      <c r="V15" s="3"/>
      <c r="W15" s="3"/>
      <c r="Y15" s="16"/>
      <c r="AA15" s="3"/>
      <c r="AB15" s="3"/>
      <c r="AC15" s="3"/>
      <c r="AE15" s="16"/>
      <c r="AG15" s="3"/>
      <c r="AH15" s="3"/>
      <c r="AI15" s="3"/>
      <c r="AK15" s="16"/>
      <c r="AM15" s="3"/>
      <c r="AN15" s="3"/>
      <c r="AO15" s="17"/>
      <c r="AP15" s="13"/>
      <c r="AQ15" s="18"/>
    </row>
    <row r="16" spans="2:43" x14ac:dyDescent="0.25">
      <c r="B16" s="2" t="s">
        <v>3</v>
      </c>
      <c r="C16" s="21"/>
      <c r="D16" s="3"/>
      <c r="E16" s="21"/>
      <c r="G16" s="22"/>
      <c r="I16" s="21"/>
      <c r="J16" s="3"/>
      <c r="K16" s="21"/>
      <c r="M16" s="22"/>
      <c r="O16" s="21"/>
      <c r="P16" s="3"/>
      <c r="Q16" s="21"/>
      <c r="S16" s="22"/>
      <c r="U16" s="21"/>
      <c r="V16" s="3"/>
      <c r="W16" s="21"/>
      <c r="Y16" s="22"/>
      <c r="AA16" s="21"/>
      <c r="AB16" s="3"/>
      <c r="AC16" s="21"/>
      <c r="AE16" s="22"/>
      <c r="AG16" s="21"/>
      <c r="AH16" s="3"/>
      <c r="AI16" s="21"/>
      <c r="AK16" s="22"/>
      <c r="AM16" s="21"/>
      <c r="AN16" s="3"/>
      <c r="AO16" s="14"/>
      <c r="AP16" s="13"/>
      <c r="AQ16" s="15"/>
    </row>
    <row r="17" spans="2:43" ht="5" customHeight="1" x14ac:dyDescent="0.25">
      <c r="C17" s="3"/>
      <c r="D17" s="3"/>
      <c r="E17" s="3"/>
      <c r="G17" s="16"/>
      <c r="I17" s="3"/>
      <c r="J17" s="3"/>
      <c r="K17" s="3"/>
      <c r="M17" s="16"/>
      <c r="O17" s="3"/>
      <c r="P17" s="3"/>
      <c r="Q17" s="3"/>
      <c r="S17" s="16"/>
      <c r="U17" s="3"/>
      <c r="V17" s="3"/>
      <c r="W17" s="3"/>
      <c r="Y17" s="16"/>
      <c r="AA17" s="3"/>
      <c r="AB17" s="3"/>
      <c r="AC17" s="3"/>
      <c r="AE17" s="16"/>
      <c r="AG17" s="3"/>
      <c r="AH17" s="3"/>
      <c r="AI17" s="3"/>
      <c r="AK17" s="16"/>
      <c r="AM17" s="3"/>
      <c r="AN17" s="3"/>
      <c r="AO17" s="17"/>
      <c r="AP17" s="13"/>
      <c r="AQ17" s="18"/>
    </row>
    <row r="18" spans="2:43" x14ac:dyDescent="0.25">
      <c r="B18" s="2" t="s">
        <v>26</v>
      </c>
      <c r="C18" s="21"/>
      <c r="D18" s="3"/>
      <c r="E18" s="21"/>
      <c r="G18" s="22"/>
      <c r="I18" s="21"/>
      <c r="J18" s="3"/>
      <c r="K18" s="21"/>
      <c r="M18" s="22"/>
      <c r="O18" s="21"/>
      <c r="P18" s="3"/>
      <c r="Q18" s="21"/>
      <c r="S18" s="22"/>
      <c r="U18" s="21"/>
      <c r="V18" s="3"/>
      <c r="W18" s="21"/>
      <c r="Y18" s="22"/>
      <c r="AA18" s="21"/>
      <c r="AB18" s="3"/>
      <c r="AC18" s="21"/>
      <c r="AE18" s="22"/>
      <c r="AG18" s="21"/>
      <c r="AH18" s="3"/>
      <c r="AI18" s="21"/>
      <c r="AK18" s="22"/>
      <c r="AM18" s="21"/>
      <c r="AN18" s="3"/>
      <c r="AO18" s="14"/>
      <c r="AP18" s="13"/>
      <c r="AQ18" s="15"/>
    </row>
    <row r="19" spans="2:43" ht="5" customHeight="1" x14ac:dyDescent="0.25">
      <c r="C19" s="14"/>
      <c r="D19" s="3"/>
      <c r="E19" s="14"/>
      <c r="G19" s="15"/>
      <c r="I19" s="14"/>
      <c r="J19" s="3"/>
      <c r="K19" s="14"/>
      <c r="M19" s="15"/>
      <c r="O19" s="14"/>
      <c r="P19" s="3"/>
      <c r="Q19" s="14"/>
      <c r="S19" s="15"/>
      <c r="U19" s="14"/>
      <c r="V19" s="3"/>
      <c r="W19" s="14"/>
      <c r="Y19" s="15"/>
      <c r="AA19" s="14"/>
      <c r="AB19" s="3"/>
      <c r="AC19" s="14"/>
      <c r="AE19" s="15"/>
      <c r="AG19" s="14"/>
      <c r="AH19" s="3"/>
      <c r="AI19" s="14"/>
      <c r="AK19" s="15"/>
      <c r="AM19" s="14"/>
      <c r="AN19" s="3"/>
      <c r="AO19" s="14"/>
      <c r="AP19" s="13"/>
      <c r="AQ19" s="15"/>
    </row>
    <row r="20" spans="2:43" x14ac:dyDescent="0.25">
      <c r="B20" s="2" t="s">
        <v>27</v>
      </c>
      <c r="C20" s="21"/>
      <c r="D20" s="3"/>
      <c r="E20" s="21"/>
      <c r="G20" s="22"/>
      <c r="I20" s="21"/>
      <c r="J20" s="3"/>
      <c r="K20" s="21"/>
      <c r="M20" s="22"/>
      <c r="O20" s="21"/>
      <c r="P20" s="3"/>
      <c r="Q20" s="21"/>
      <c r="S20" s="22"/>
      <c r="U20" s="21"/>
      <c r="V20" s="3"/>
      <c r="W20" s="21"/>
      <c r="Y20" s="22"/>
      <c r="AA20" s="21"/>
      <c r="AB20" s="3"/>
      <c r="AC20" s="21"/>
      <c r="AE20" s="22"/>
      <c r="AG20" s="21"/>
      <c r="AH20" s="3"/>
      <c r="AI20" s="21"/>
      <c r="AK20" s="22"/>
      <c r="AM20" s="21"/>
      <c r="AN20" s="3"/>
      <c r="AO20" s="14"/>
      <c r="AP20" s="13"/>
      <c r="AQ20" s="15"/>
    </row>
    <row r="21" spans="2:43" ht="5" customHeight="1" x14ac:dyDescent="0.25">
      <c r="C21" s="3"/>
      <c r="D21" s="3"/>
      <c r="E21" s="3"/>
      <c r="G21" s="16"/>
      <c r="I21" s="3"/>
      <c r="J21" s="3"/>
      <c r="K21" s="3"/>
      <c r="M21" s="16"/>
      <c r="O21" s="3"/>
      <c r="P21" s="3"/>
      <c r="Q21" s="3"/>
      <c r="S21" s="16"/>
      <c r="U21" s="3"/>
      <c r="V21" s="3"/>
      <c r="W21" s="3"/>
      <c r="Y21" s="16"/>
      <c r="AA21" s="3"/>
      <c r="AB21" s="3"/>
      <c r="AC21" s="3"/>
      <c r="AE21" s="16"/>
      <c r="AG21" s="3"/>
      <c r="AH21" s="3"/>
      <c r="AI21" s="3"/>
      <c r="AK21" s="16"/>
      <c r="AM21" s="3"/>
      <c r="AN21" s="3"/>
      <c r="AO21" s="17"/>
      <c r="AP21" s="13"/>
      <c r="AQ21" s="18"/>
    </row>
    <row r="22" spans="2:43" x14ac:dyDescent="0.25">
      <c r="B22" s="2" t="s">
        <v>20</v>
      </c>
      <c r="C22" s="21"/>
      <c r="D22" s="3"/>
      <c r="E22" s="21"/>
      <c r="G22" s="22"/>
      <c r="I22" s="21"/>
      <c r="J22" s="3"/>
      <c r="K22" s="21"/>
      <c r="M22" s="22"/>
      <c r="O22" s="21"/>
      <c r="P22" s="3"/>
      <c r="Q22" s="21"/>
      <c r="S22" s="22"/>
      <c r="U22" s="21"/>
      <c r="V22" s="3"/>
      <c r="W22" s="21"/>
      <c r="Y22" s="22"/>
      <c r="AA22" s="21"/>
      <c r="AB22" s="3"/>
      <c r="AC22" s="21"/>
      <c r="AE22" s="22"/>
      <c r="AG22" s="21"/>
      <c r="AH22" s="3"/>
      <c r="AI22" s="21"/>
      <c r="AK22" s="22"/>
      <c r="AM22" s="21"/>
      <c r="AN22" s="3"/>
      <c r="AO22" s="14"/>
      <c r="AP22" s="13"/>
      <c r="AQ22" s="15"/>
    </row>
    <row r="23" spans="2:43" ht="5" customHeight="1" x14ac:dyDescent="0.25">
      <c r="C23" s="3"/>
      <c r="D23" s="3"/>
      <c r="E23" s="3"/>
      <c r="I23" s="3"/>
      <c r="J23" s="3"/>
      <c r="K23" s="3"/>
      <c r="O23" s="3"/>
      <c r="P23" s="3"/>
      <c r="Q23" s="3"/>
      <c r="U23" s="3"/>
      <c r="V23" s="3"/>
      <c r="W23" s="3"/>
      <c r="AA23" s="3"/>
      <c r="AB23" s="3"/>
      <c r="AC23" s="3"/>
      <c r="AG23" s="3"/>
      <c r="AH23" s="3"/>
      <c r="AI23" s="3"/>
      <c r="AM23" s="3"/>
      <c r="AN23" s="3"/>
      <c r="AO23" s="3"/>
    </row>
    <row r="24" spans="2:43" x14ac:dyDescent="0.25">
      <c r="B24" s="2" t="s">
        <v>19</v>
      </c>
      <c r="C24" s="21"/>
      <c r="D24" s="3"/>
      <c r="E24" s="19"/>
      <c r="F24" s="20"/>
      <c r="G24" s="20"/>
      <c r="I24" s="21"/>
      <c r="J24" s="3"/>
      <c r="K24" s="19"/>
      <c r="L24" s="20"/>
      <c r="M24" s="20"/>
      <c r="O24" s="21"/>
      <c r="P24" s="3"/>
      <c r="Q24" s="19"/>
      <c r="R24" s="20"/>
      <c r="S24" s="20"/>
      <c r="U24" s="21"/>
      <c r="V24" s="3"/>
      <c r="W24" s="19"/>
      <c r="X24" s="20"/>
      <c r="Y24" s="20"/>
      <c r="AA24" s="21"/>
      <c r="AB24" s="3"/>
      <c r="AC24" s="19"/>
      <c r="AD24" s="20"/>
      <c r="AE24" s="20"/>
      <c r="AG24" s="21"/>
      <c r="AH24" s="3"/>
      <c r="AI24" s="19"/>
      <c r="AJ24" s="20"/>
      <c r="AK24" s="20"/>
      <c r="AM24" s="21"/>
      <c r="AN24" s="3"/>
      <c r="AO24" s="19"/>
      <c r="AP24" s="20"/>
      <c r="AQ24" s="20"/>
    </row>
    <row r="25" spans="2:43" ht="5" customHeight="1" x14ac:dyDescent="0.25">
      <c r="C25" s="3"/>
      <c r="D25" s="3"/>
      <c r="E25" s="19"/>
      <c r="F25" s="20"/>
      <c r="G25" s="20"/>
      <c r="I25" s="3"/>
      <c r="J25" s="3"/>
      <c r="K25" s="19"/>
      <c r="L25" s="20"/>
      <c r="M25" s="20"/>
      <c r="O25" s="3"/>
      <c r="P25" s="3"/>
      <c r="Q25" s="19"/>
      <c r="R25" s="20"/>
      <c r="S25" s="20"/>
      <c r="U25" s="3"/>
      <c r="V25" s="3"/>
      <c r="W25" s="19"/>
      <c r="X25" s="20"/>
      <c r="Y25" s="20"/>
      <c r="AA25" s="3"/>
      <c r="AB25" s="3"/>
      <c r="AC25" s="19"/>
      <c r="AD25" s="20"/>
      <c r="AE25" s="20"/>
      <c r="AG25" s="3"/>
      <c r="AH25" s="3"/>
      <c r="AI25" s="19"/>
      <c r="AJ25" s="20"/>
      <c r="AK25" s="20"/>
      <c r="AM25" s="3"/>
      <c r="AN25" s="3"/>
      <c r="AO25" s="19"/>
      <c r="AP25" s="20"/>
      <c r="AQ25" s="20"/>
    </row>
    <row r="26" spans="2:43" x14ac:dyDescent="0.25">
      <c r="B26" s="2" t="s">
        <v>4</v>
      </c>
      <c r="C26" s="21"/>
      <c r="D26" s="3"/>
      <c r="E26" s="19"/>
      <c r="F26" s="20"/>
      <c r="G26" s="20"/>
      <c r="I26" s="21"/>
      <c r="J26" s="3"/>
      <c r="K26" s="19"/>
      <c r="L26" s="20"/>
      <c r="M26" s="20"/>
      <c r="O26" s="21"/>
      <c r="P26" s="3"/>
      <c r="Q26" s="19"/>
      <c r="R26" s="20"/>
      <c r="S26" s="20"/>
      <c r="U26" s="21"/>
      <c r="V26" s="3"/>
      <c r="W26" s="19"/>
      <c r="X26" s="20"/>
      <c r="Y26" s="20"/>
      <c r="AA26" s="21"/>
      <c r="AB26" s="3"/>
      <c r="AC26" s="19"/>
      <c r="AD26" s="20"/>
      <c r="AE26" s="20"/>
      <c r="AG26" s="21"/>
      <c r="AH26" s="3"/>
      <c r="AI26" s="19"/>
      <c r="AJ26" s="20"/>
      <c r="AK26" s="20"/>
      <c r="AM26" s="21"/>
      <c r="AN26" s="3"/>
      <c r="AO26" s="19"/>
      <c r="AP26" s="20"/>
      <c r="AQ26" s="20"/>
    </row>
    <row r="27" spans="2:43" ht="5" customHeight="1" x14ac:dyDescent="0.25">
      <c r="C27" s="3"/>
      <c r="D27" s="3"/>
      <c r="E27" s="19"/>
      <c r="F27" s="20"/>
      <c r="G27" s="20"/>
      <c r="I27" s="3"/>
      <c r="J27" s="3"/>
      <c r="K27" s="19"/>
      <c r="L27" s="20"/>
      <c r="M27" s="20"/>
      <c r="O27" s="3"/>
      <c r="P27" s="3"/>
      <c r="Q27" s="19"/>
      <c r="R27" s="20"/>
      <c r="S27" s="20"/>
      <c r="U27" s="3"/>
      <c r="V27" s="3"/>
      <c r="W27" s="19"/>
      <c r="X27" s="20"/>
      <c r="Y27" s="20"/>
      <c r="AA27" s="3"/>
      <c r="AB27" s="3"/>
      <c r="AC27" s="19"/>
      <c r="AD27" s="20"/>
      <c r="AE27" s="20"/>
      <c r="AG27" s="3"/>
      <c r="AH27" s="3"/>
      <c r="AI27" s="19"/>
      <c r="AJ27" s="20"/>
      <c r="AK27" s="20"/>
      <c r="AM27" s="3"/>
      <c r="AN27" s="3"/>
      <c r="AO27" s="19"/>
      <c r="AP27" s="20"/>
      <c r="AQ27" s="20"/>
    </row>
    <row r="28" spans="2:43" x14ac:dyDescent="0.25">
      <c r="B28" s="2" t="s">
        <v>22</v>
      </c>
      <c r="C28" s="21"/>
      <c r="D28" s="3"/>
      <c r="E28" s="19"/>
      <c r="F28" s="20"/>
      <c r="G28" s="20"/>
      <c r="I28" s="21"/>
      <c r="J28" s="3"/>
      <c r="K28" s="19"/>
      <c r="L28" s="20"/>
      <c r="M28" s="20"/>
      <c r="O28" s="21"/>
      <c r="P28" s="3"/>
      <c r="Q28" s="19"/>
      <c r="R28" s="20"/>
      <c r="S28" s="20"/>
      <c r="U28" s="21"/>
      <c r="V28" s="3"/>
      <c r="W28" s="19"/>
      <c r="X28" s="20"/>
      <c r="Y28" s="20"/>
      <c r="AA28" s="21"/>
      <c r="AB28" s="3"/>
      <c r="AC28" s="19"/>
      <c r="AD28" s="20"/>
      <c r="AE28" s="20"/>
      <c r="AG28" s="21"/>
      <c r="AH28" s="3"/>
      <c r="AI28" s="19"/>
      <c r="AJ28" s="20"/>
      <c r="AK28" s="20"/>
      <c r="AM28" s="21"/>
      <c r="AN28" s="3"/>
      <c r="AO28" s="19"/>
      <c r="AP28" s="20"/>
      <c r="AQ28" s="20"/>
    </row>
    <row r="29" spans="2:43" ht="5" customHeight="1" x14ac:dyDescent="0.25">
      <c r="C29" s="3"/>
      <c r="D29" s="3"/>
      <c r="E29" s="19"/>
      <c r="F29" s="20"/>
      <c r="G29" s="20"/>
      <c r="I29" s="3"/>
      <c r="J29" s="3"/>
      <c r="K29" s="19"/>
      <c r="L29" s="20"/>
      <c r="M29" s="20"/>
      <c r="O29" s="3"/>
      <c r="P29" s="3"/>
      <c r="Q29" s="19"/>
      <c r="R29" s="20"/>
      <c r="S29" s="20"/>
      <c r="U29" s="3"/>
      <c r="V29" s="3"/>
      <c r="W29" s="19"/>
      <c r="X29" s="20"/>
      <c r="Y29" s="20"/>
      <c r="AA29" s="3"/>
      <c r="AB29" s="3"/>
      <c r="AC29" s="19"/>
      <c r="AD29" s="20"/>
      <c r="AE29" s="20"/>
      <c r="AG29" s="3"/>
      <c r="AH29" s="3"/>
      <c r="AI29" s="19"/>
      <c r="AJ29" s="20"/>
      <c r="AK29" s="20"/>
      <c r="AM29" s="3"/>
      <c r="AN29" s="3"/>
      <c r="AO29" s="19"/>
      <c r="AP29" s="20"/>
      <c r="AQ29" s="20"/>
    </row>
    <row r="30" spans="2:43" x14ac:dyDescent="0.25">
      <c r="B30" s="2" t="s">
        <v>5</v>
      </c>
      <c r="C30" s="21"/>
      <c r="D30" s="3"/>
      <c r="E30" s="19"/>
      <c r="F30" s="20"/>
      <c r="G30" s="20"/>
      <c r="I30" s="21"/>
      <c r="J30" s="3"/>
      <c r="K30" s="19"/>
      <c r="L30" s="20"/>
      <c r="M30" s="20"/>
      <c r="O30" s="21"/>
      <c r="P30" s="3"/>
      <c r="Q30" s="19"/>
      <c r="R30" s="20"/>
      <c r="S30" s="20"/>
      <c r="U30" s="21"/>
      <c r="V30" s="3"/>
      <c r="W30" s="19"/>
      <c r="X30" s="20"/>
      <c r="Y30" s="20"/>
      <c r="AA30" s="21"/>
      <c r="AB30" s="3"/>
      <c r="AC30" s="19"/>
      <c r="AD30" s="20"/>
      <c r="AE30" s="20"/>
      <c r="AG30" s="21"/>
      <c r="AH30" s="3"/>
      <c r="AI30" s="19"/>
      <c r="AJ30" s="20"/>
      <c r="AK30" s="20"/>
      <c r="AM30" s="21"/>
      <c r="AN30" s="3"/>
      <c r="AO30" s="19"/>
      <c r="AP30" s="20"/>
      <c r="AQ30" s="20"/>
    </row>
    <row r="31" spans="2:43" ht="5" customHeight="1" x14ac:dyDescent="0.25">
      <c r="C31" s="3"/>
      <c r="D31" s="3"/>
      <c r="E31" s="19"/>
      <c r="F31" s="20"/>
      <c r="G31" s="20"/>
      <c r="I31" s="3"/>
      <c r="J31" s="3"/>
      <c r="K31" s="19"/>
      <c r="L31" s="20"/>
      <c r="M31" s="20"/>
      <c r="O31" s="3"/>
      <c r="P31" s="3"/>
      <c r="Q31" s="19"/>
      <c r="R31" s="20"/>
      <c r="S31" s="20"/>
      <c r="U31" s="3"/>
      <c r="V31" s="3"/>
      <c r="W31" s="19"/>
      <c r="X31" s="20"/>
      <c r="Y31" s="20"/>
      <c r="AA31" s="3"/>
      <c r="AB31" s="3"/>
      <c r="AC31" s="19"/>
      <c r="AD31" s="20"/>
      <c r="AE31" s="20"/>
      <c r="AG31" s="3"/>
      <c r="AH31" s="3"/>
      <c r="AI31" s="19"/>
      <c r="AJ31" s="20"/>
      <c r="AK31" s="20"/>
      <c r="AM31" s="3"/>
      <c r="AN31" s="3"/>
      <c r="AO31" s="19"/>
      <c r="AP31" s="20"/>
      <c r="AQ31" s="20"/>
    </row>
    <row r="32" spans="2:43" x14ac:dyDescent="0.25">
      <c r="B32" s="2" t="s">
        <v>6</v>
      </c>
      <c r="C32" s="21"/>
      <c r="D32" s="3"/>
      <c r="E32" s="19"/>
      <c r="F32" s="20"/>
      <c r="G32" s="20"/>
      <c r="I32" s="21"/>
      <c r="J32" s="3"/>
      <c r="K32" s="19"/>
      <c r="L32" s="20"/>
      <c r="M32" s="20"/>
      <c r="O32" s="21"/>
      <c r="P32" s="3"/>
      <c r="Q32" s="19"/>
      <c r="R32" s="20"/>
      <c r="S32" s="20"/>
      <c r="U32" s="21"/>
      <c r="V32" s="3"/>
      <c r="W32" s="19"/>
      <c r="X32" s="20"/>
      <c r="Y32" s="20"/>
      <c r="AA32" s="21"/>
      <c r="AB32" s="3"/>
      <c r="AC32" s="19"/>
      <c r="AD32" s="20"/>
      <c r="AE32" s="20"/>
      <c r="AG32" s="21"/>
      <c r="AH32" s="3"/>
      <c r="AI32" s="19"/>
      <c r="AJ32" s="20"/>
      <c r="AK32" s="20"/>
      <c r="AM32" s="21"/>
      <c r="AN32" s="3"/>
      <c r="AO32" s="19"/>
      <c r="AP32" s="20"/>
      <c r="AQ32" s="20"/>
    </row>
    <row r="33" spans="2:43" ht="5" customHeight="1" x14ac:dyDescent="0.25">
      <c r="C33" s="3"/>
      <c r="D33" s="3"/>
      <c r="E33" s="19"/>
      <c r="F33" s="20"/>
      <c r="G33" s="20"/>
      <c r="I33" s="3"/>
      <c r="J33" s="3"/>
      <c r="K33" s="19"/>
      <c r="L33" s="20"/>
      <c r="M33" s="20"/>
      <c r="O33" s="3"/>
      <c r="P33" s="3"/>
      <c r="Q33" s="19"/>
      <c r="R33" s="20"/>
      <c r="S33" s="20"/>
      <c r="U33" s="3"/>
      <c r="V33" s="3"/>
      <c r="W33" s="19"/>
      <c r="X33" s="20"/>
      <c r="Y33" s="20"/>
      <c r="AA33" s="3"/>
      <c r="AB33" s="3"/>
      <c r="AC33" s="19"/>
      <c r="AD33" s="20"/>
      <c r="AE33" s="20"/>
      <c r="AG33" s="3"/>
      <c r="AH33" s="3"/>
      <c r="AI33" s="19"/>
      <c r="AJ33" s="20"/>
      <c r="AK33" s="20"/>
      <c r="AM33" s="3"/>
      <c r="AN33" s="3"/>
      <c r="AO33" s="19"/>
      <c r="AP33" s="20"/>
      <c r="AQ33" s="20"/>
    </row>
    <row r="34" spans="2:43" x14ac:dyDescent="0.25">
      <c r="B34" s="2" t="s">
        <v>7</v>
      </c>
      <c r="C34" s="21"/>
      <c r="D34" s="3"/>
      <c r="E34" s="19"/>
      <c r="F34" s="20"/>
      <c r="G34" s="20"/>
      <c r="I34" s="21"/>
      <c r="J34" s="3"/>
      <c r="K34" s="19"/>
      <c r="L34" s="20"/>
      <c r="M34" s="20"/>
      <c r="O34" s="21"/>
      <c r="P34" s="3"/>
      <c r="Q34" s="19"/>
      <c r="R34" s="20"/>
      <c r="S34" s="20"/>
      <c r="U34" s="21"/>
      <c r="V34" s="3"/>
      <c r="W34" s="19"/>
      <c r="X34" s="20"/>
      <c r="Y34" s="20"/>
      <c r="AA34" s="21"/>
      <c r="AB34" s="3"/>
      <c r="AC34" s="19"/>
      <c r="AD34" s="20"/>
      <c r="AE34" s="20"/>
      <c r="AG34" s="21"/>
      <c r="AH34" s="3"/>
      <c r="AI34" s="19"/>
      <c r="AJ34" s="20"/>
      <c r="AK34" s="20"/>
      <c r="AM34" s="21"/>
      <c r="AN34" s="3"/>
      <c r="AO34" s="19"/>
      <c r="AP34" s="20"/>
      <c r="AQ34" s="20"/>
    </row>
    <row r="35" spans="2:43" ht="5" customHeight="1" x14ac:dyDescent="0.25">
      <c r="C35" s="3"/>
      <c r="D35" s="3"/>
      <c r="E35" s="19"/>
      <c r="F35" s="20"/>
      <c r="G35" s="20"/>
      <c r="I35" s="3"/>
      <c r="J35" s="3"/>
      <c r="K35" s="19"/>
      <c r="L35" s="20"/>
      <c r="M35" s="20"/>
      <c r="O35" s="3"/>
      <c r="P35" s="3"/>
      <c r="Q35" s="19"/>
      <c r="R35" s="20"/>
      <c r="S35" s="20"/>
      <c r="U35" s="3"/>
      <c r="V35" s="3"/>
      <c r="W35" s="19"/>
      <c r="X35" s="20"/>
      <c r="Y35" s="20"/>
      <c r="AA35" s="3"/>
      <c r="AB35" s="3"/>
      <c r="AC35" s="19"/>
      <c r="AD35" s="20"/>
      <c r="AE35" s="20"/>
      <c r="AG35" s="3"/>
      <c r="AH35" s="3"/>
      <c r="AI35" s="19"/>
      <c r="AJ35" s="20"/>
      <c r="AK35" s="20"/>
      <c r="AM35" s="3"/>
      <c r="AN35" s="3"/>
      <c r="AO35" s="19"/>
      <c r="AP35" s="20"/>
      <c r="AQ35" s="20"/>
    </row>
    <row r="36" spans="2:43" x14ac:dyDescent="0.25">
      <c r="B36" s="2" t="s">
        <v>55</v>
      </c>
      <c r="C36" s="21"/>
      <c r="D36" s="3"/>
      <c r="E36" s="19"/>
      <c r="F36" s="20"/>
      <c r="G36" s="20"/>
      <c r="I36" s="21"/>
      <c r="J36" s="3"/>
      <c r="K36" s="19"/>
      <c r="L36" s="20"/>
      <c r="M36" s="20"/>
      <c r="O36" s="21"/>
      <c r="P36" s="3"/>
      <c r="Q36" s="19"/>
      <c r="R36" s="20"/>
      <c r="S36" s="20"/>
      <c r="U36" s="21"/>
      <c r="V36" s="3"/>
      <c r="W36" s="19"/>
      <c r="X36" s="20"/>
      <c r="Y36" s="20"/>
      <c r="AA36" s="21"/>
      <c r="AB36" s="3"/>
      <c r="AC36" s="19"/>
      <c r="AD36" s="20"/>
      <c r="AE36" s="20"/>
      <c r="AG36" s="21"/>
      <c r="AH36" s="3"/>
      <c r="AI36" s="19"/>
      <c r="AJ36" s="20"/>
      <c r="AK36" s="20"/>
      <c r="AM36" s="21"/>
      <c r="AN36" s="3"/>
      <c r="AO36" s="19"/>
      <c r="AP36" s="20"/>
      <c r="AQ36" s="20"/>
    </row>
    <row r="37" spans="2:43" ht="5" customHeight="1" x14ac:dyDescent="0.25">
      <c r="C37" s="3"/>
      <c r="D37" s="3"/>
      <c r="E37" s="19"/>
      <c r="F37" s="20"/>
      <c r="G37" s="20"/>
      <c r="I37" s="3"/>
      <c r="J37" s="3"/>
      <c r="K37" s="19"/>
      <c r="L37" s="20"/>
      <c r="M37" s="20"/>
      <c r="O37" s="3"/>
      <c r="P37" s="3"/>
      <c r="Q37" s="19"/>
      <c r="R37" s="20"/>
      <c r="S37" s="20"/>
      <c r="U37" s="3"/>
      <c r="V37" s="3"/>
      <c r="W37" s="19"/>
      <c r="X37" s="20"/>
      <c r="Y37" s="20"/>
      <c r="AA37" s="3"/>
      <c r="AB37" s="3"/>
      <c r="AC37" s="19"/>
      <c r="AD37" s="20"/>
      <c r="AE37" s="20"/>
      <c r="AG37" s="3"/>
      <c r="AH37" s="3"/>
      <c r="AI37" s="19"/>
      <c r="AJ37" s="20"/>
      <c r="AK37" s="20"/>
      <c r="AM37" s="3"/>
      <c r="AN37" s="3"/>
      <c r="AO37" s="19"/>
      <c r="AP37" s="20"/>
      <c r="AQ37" s="20"/>
    </row>
    <row r="38" spans="2:43" x14ac:dyDescent="0.25">
      <c r="B38" s="2" t="s">
        <v>8</v>
      </c>
      <c r="C38" s="21"/>
      <c r="D38" s="3"/>
      <c r="E38" s="19"/>
      <c r="F38" s="20"/>
      <c r="G38" s="20"/>
      <c r="I38" s="21"/>
      <c r="J38" s="3"/>
      <c r="K38" s="19"/>
      <c r="L38" s="20"/>
      <c r="M38" s="20"/>
      <c r="O38" s="21"/>
      <c r="P38" s="3"/>
      <c r="Q38" s="19"/>
      <c r="R38" s="20"/>
      <c r="S38" s="20"/>
      <c r="U38" s="21"/>
      <c r="V38" s="3"/>
      <c r="W38" s="19"/>
      <c r="X38" s="20"/>
      <c r="Y38" s="20"/>
      <c r="AA38" s="21"/>
      <c r="AB38" s="3"/>
      <c r="AC38" s="19"/>
      <c r="AD38" s="20"/>
      <c r="AE38" s="20"/>
      <c r="AG38" s="21"/>
      <c r="AH38" s="3"/>
      <c r="AI38" s="19"/>
      <c r="AJ38" s="20"/>
      <c r="AK38" s="20"/>
      <c r="AM38" s="21"/>
      <c r="AN38" s="3"/>
      <c r="AO38" s="19"/>
      <c r="AP38" s="20"/>
      <c r="AQ38" s="20"/>
    </row>
    <row r="39" spans="2:43" ht="5" customHeight="1" x14ac:dyDescent="0.25">
      <c r="C39" s="3"/>
      <c r="D39" s="3"/>
      <c r="E39" s="19"/>
      <c r="F39" s="20"/>
      <c r="G39" s="20"/>
      <c r="I39" s="3"/>
      <c r="J39" s="3"/>
      <c r="K39" s="19"/>
      <c r="L39" s="20"/>
      <c r="M39" s="20"/>
      <c r="O39" s="3"/>
      <c r="P39" s="3"/>
      <c r="Q39" s="19"/>
      <c r="R39" s="20"/>
      <c r="S39" s="20"/>
      <c r="U39" s="3"/>
      <c r="V39" s="3"/>
      <c r="W39" s="19"/>
      <c r="X39" s="20"/>
      <c r="Y39" s="20"/>
      <c r="AA39" s="3"/>
      <c r="AB39" s="3"/>
      <c r="AC39" s="19"/>
      <c r="AD39" s="20"/>
      <c r="AE39" s="20"/>
      <c r="AG39" s="3"/>
      <c r="AH39" s="3"/>
      <c r="AI39" s="19"/>
      <c r="AJ39" s="20"/>
      <c r="AK39" s="20"/>
      <c r="AM39" s="3"/>
      <c r="AN39" s="3"/>
      <c r="AO39" s="19"/>
      <c r="AP39" s="20"/>
      <c r="AQ39" s="20"/>
    </row>
    <row r="40" spans="2:43" x14ac:dyDescent="0.25">
      <c r="B40" s="2" t="s">
        <v>9</v>
      </c>
      <c r="C40" s="21"/>
      <c r="D40" s="3"/>
      <c r="E40" s="19"/>
      <c r="F40" s="20"/>
      <c r="G40" s="20"/>
      <c r="I40" s="21"/>
      <c r="J40" s="3"/>
      <c r="K40" s="19"/>
      <c r="L40" s="20"/>
      <c r="M40" s="20"/>
      <c r="O40" s="21"/>
      <c r="P40" s="3"/>
      <c r="Q40" s="19"/>
      <c r="R40" s="20"/>
      <c r="S40" s="20"/>
      <c r="U40" s="21"/>
      <c r="V40" s="3"/>
      <c r="W40" s="19"/>
      <c r="X40" s="20"/>
      <c r="Y40" s="20"/>
      <c r="AA40" s="21"/>
      <c r="AB40" s="3"/>
      <c r="AC40" s="19"/>
      <c r="AD40" s="20"/>
      <c r="AE40" s="20"/>
      <c r="AG40" s="21"/>
      <c r="AH40" s="3"/>
      <c r="AI40" s="19"/>
      <c r="AJ40" s="20"/>
      <c r="AK40" s="20"/>
      <c r="AM40" s="21"/>
      <c r="AN40" s="3"/>
      <c r="AO40" s="19"/>
      <c r="AP40" s="20"/>
      <c r="AQ40" s="20"/>
    </row>
    <row r="41" spans="2:43" ht="5" customHeight="1" x14ac:dyDescent="0.25">
      <c r="C41" s="3"/>
      <c r="D41" s="3"/>
      <c r="E41" s="19"/>
      <c r="F41" s="20"/>
      <c r="G41" s="20"/>
      <c r="I41" s="3"/>
      <c r="J41" s="3"/>
      <c r="K41" s="19"/>
      <c r="L41" s="20"/>
      <c r="M41" s="20"/>
      <c r="O41" s="3"/>
      <c r="P41" s="3"/>
      <c r="Q41" s="19"/>
      <c r="R41" s="20"/>
      <c r="S41" s="20"/>
      <c r="U41" s="3"/>
      <c r="V41" s="3"/>
      <c r="W41" s="19"/>
      <c r="X41" s="20"/>
      <c r="Y41" s="20"/>
      <c r="AA41" s="3"/>
      <c r="AB41" s="3"/>
      <c r="AC41" s="19"/>
      <c r="AD41" s="20"/>
      <c r="AE41" s="20"/>
      <c r="AG41" s="3"/>
      <c r="AH41" s="3"/>
      <c r="AI41" s="19"/>
      <c r="AJ41" s="20"/>
      <c r="AK41" s="20"/>
      <c r="AM41" s="3"/>
      <c r="AN41" s="3"/>
      <c r="AO41" s="19"/>
      <c r="AP41" s="20"/>
      <c r="AQ41" s="20"/>
    </row>
    <row r="42" spans="2:43" x14ac:dyDescent="0.25">
      <c r="B42" s="2" t="s">
        <v>10</v>
      </c>
      <c r="C42" s="21"/>
      <c r="D42" s="3"/>
      <c r="E42" s="19"/>
      <c r="F42" s="20"/>
      <c r="G42" s="20"/>
      <c r="I42" s="21"/>
      <c r="J42" s="3"/>
      <c r="K42" s="19"/>
      <c r="L42" s="20"/>
      <c r="M42" s="20"/>
      <c r="O42" s="21"/>
      <c r="P42" s="3"/>
      <c r="Q42" s="19"/>
      <c r="R42" s="20"/>
      <c r="S42" s="20"/>
      <c r="U42" s="21"/>
      <c r="V42" s="3"/>
      <c r="W42" s="19"/>
      <c r="X42" s="20"/>
      <c r="Y42" s="20"/>
      <c r="AA42" s="21"/>
      <c r="AB42" s="3"/>
      <c r="AC42" s="19"/>
      <c r="AD42" s="20"/>
      <c r="AE42" s="20"/>
      <c r="AG42" s="21"/>
      <c r="AH42" s="3"/>
      <c r="AI42" s="19"/>
      <c r="AJ42" s="20"/>
      <c r="AK42" s="20"/>
      <c r="AM42" s="21"/>
      <c r="AN42" s="3"/>
      <c r="AO42" s="19"/>
      <c r="AP42" s="20"/>
      <c r="AQ42" s="20"/>
    </row>
    <row r="43" spans="2:43" ht="5" customHeight="1" x14ac:dyDescent="0.25">
      <c r="C43" s="3"/>
      <c r="D43" s="3"/>
      <c r="E43" s="19"/>
      <c r="F43" s="20"/>
      <c r="G43" s="20"/>
      <c r="I43" s="3"/>
      <c r="J43" s="3"/>
      <c r="K43" s="19"/>
      <c r="L43" s="20"/>
      <c r="M43" s="20"/>
      <c r="O43" s="3"/>
      <c r="P43" s="3"/>
      <c r="Q43" s="19"/>
      <c r="R43" s="20"/>
      <c r="S43" s="20"/>
      <c r="U43" s="3"/>
      <c r="V43" s="3"/>
      <c r="W43" s="19"/>
      <c r="X43" s="20"/>
      <c r="Y43" s="20"/>
      <c r="AA43" s="3"/>
      <c r="AB43" s="3"/>
      <c r="AC43" s="19"/>
      <c r="AD43" s="20"/>
      <c r="AE43" s="20"/>
      <c r="AG43" s="3"/>
      <c r="AH43" s="3"/>
      <c r="AI43" s="19"/>
      <c r="AJ43" s="20"/>
      <c r="AK43" s="20"/>
      <c r="AM43" s="3"/>
      <c r="AN43" s="3"/>
      <c r="AO43" s="19"/>
      <c r="AP43" s="20"/>
      <c r="AQ43" s="20"/>
    </row>
    <row r="44" spans="2:43" x14ac:dyDescent="0.25">
      <c r="B44" s="2" t="s">
        <v>11</v>
      </c>
      <c r="C44" s="21"/>
      <c r="D44" s="3"/>
      <c r="E44" s="19"/>
      <c r="F44" s="20"/>
      <c r="G44" s="20"/>
      <c r="I44" s="21"/>
      <c r="J44" s="3"/>
      <c r="K44" s="19"/>
      <c r="L44" s="20"/>
      <c r="M44" s="20"/>
      <c r="O44" s="21"/>
      <c r="P44" s="3"/>
      <c r="Q44" s="19"/>
      <c r="R44" s="20"/>
      <c r="S44" s="20"/>
      <c r="U44" s="21"/>
      <c r="V44" s="3"/>
      <c r="W44" s="19"/>
      <c r="X44" s="20"/>
      <c r="Y44" s="20"/>
      <c r="AA44" s="21"/>
      <c r="AB44" s="3"/>
      <c r="AC44" s="19"/>
      <c r="AD44" s="20"/>
      <c r="AE44" s="20"/>
      <c r="AG44" s="21"/>
      <c r="AH44" s="3"/>
      <c r="AI44" s="19"/>
      <c r="AJ44" s="20"/>
      <c r="AK44" s="20"/>
      <c r="AM44" s="21"/>
      <c r="AN44" s="3"/>
      <c r="AO44" s="19"/>
      <c r="AP44" s="20"/>
      <c r="AQ44" s="20"/>
    </row>
    <row r="45" spans="2:43" ht="5" customHeight="1" x14ac:dyDescent="0.25">
      <c r="C45" s="3"/>
      <c r="D45" s="3"/>
      <c r="E45" s="19"/>
      <c r="F45" s="20"/>
      <c r="G45" s="20"/>
      <c r="I45" s="3"/>
      <c r="J45" s="3"/>
      <c r="K45" s="19"/>
      <c r="L45" s="20"/>
      <c r="M45" s="20"/>
      <c r="O45" s="3"/>
      <c r="P45" s="3"/>
      <c r="Q45" s="19"/>
      <c r="R45" s="20"/>
      <c r="S45" s="20"/>
      <c r="U45" s="3"/>
      <c r="V45" s="3"/>
      <c r="W45" s="19"/>
      <c r="X45" s="20"/>
      <c r="Y45" s="20"/>
      <c r="AA45" s="3"/>
      <c r="AB45" s="3"/>
      <c r="AC45" s="19"/>
      <c r="AD45" s="20"/>
      <c r="AE45" s="20"/>
      <c r="AG45" s="3"/>
      <c r="AH45" s="3"/>
      <c r="AI45" s="19"/>
      <c r="AJ45" s="20"/>
      <c r="AK45" s="20"/>
      <c r="AM45" s="3"/>
      <c r="AN45" s="3"/>
      <c r="AO45" s="19"/>
      <c r="AP45" s="20"/>
      <c r="AQ45" s="20"/>
    </row>
    <row r="46" spans="2:43" x14ac:dyDescent="0.25">
      <c r="B46" s="2" t="s">
        <v>12</v>
      </c>
      <c r="C46" s="21"/>
      <c r="D46" s="3"/>
      <c r="E46" s="19"/>
      <c r="F46" s="20"/>
      <c r="G46" s="20"/>
      <c r="I46" s="21"/>
      <c r="J46" s="3"/>
      <c r="K46" s="19"/>
      <c r="L46" s="20"/>
      <c r="M46" s="20"/>
      <c r="O46" s="21"/>
      <c r="P46" s="3"/>
      <c r="Q46" s="19"/>
      <c r="R46" s="20"/>
      <c r="S46" s="20"/>
      <c r="U46" s="21"/>
      <c r="V46" s="3"/>
      <c r="W46" s="19"/>
      <c r="X46" s="20"/>
      <c r="Y46" s="20"/>
      <c r="AA46" s="21"/>
      <c r="AB46" s="3"/>
      <c r="AC46" s="19"/>
      <c r="AD46" s="20"/>
      <c r="AE46" s="20"/>
      <c r="AG46" s="21"/>
      <c r="AH46" s="3"/>
      <c r="AI46" s="19"/>
      <c r="AJ46" s="20"/>
      <c r="AK46" s="20"/>
      <c r="AM46" s="21"/>
      <c r="AN46" s="3"/>
      <c r="AO46" s="19"/>
      <c r="AP46" s="20"/>
      <c r="AQ46" s="20"/>
    </row>
    <row r="47" spans="2:43" ht="5" customHeight="1" x14ac:dyDescent="0.25">
      <c r="C47" s="3"/>
      <c r="D47" s="3"/>
      <c r="E47" s="19"/>
      <c r="F47" s="20"/>
      <c r="G47" s="20"/>
      <c r="I47" s="3"/>
      <c r="J47" s="3"/>
      <c r="K47" s="19"/>
      <c r="L47" s="20"/>
      <c r="M47" s="20"/>
      <c r="O47" s="3"/>
      <c r="P47" s="3"/>
      <c r="Q47" s="19"/>
      <c r="R47" s="20"/>
      <c r="S47" s="20"/>
      <c r="U47" s="3"/>
      <c r="V47" s="3"/>
      <c r="W47" s="19"/>
      <c r="X47" s="20"/>
      <c r="Y47" s="20"/>
      <c r="AA47" s="3"/>
      <c r="AB47" s="3"/>
      <c r="AC47" s="19"/>
      <c r="AD47" s="20"/>
      <c r="AE47" s="20"/>
      <c r="AG47" s="3"/>
      <c r="AH47" s="3"/>
      <c r="AI47" s="19"/>
      <c r="AJ47" s="20"/>
      <c r="AK47" s="20"/>
      <c r="AM47" s="3"/>
      <c r="AN47" s="3"/>
      <c r="AO47" s="19"/>
      <c r="AP47" s="20"/>
      <c r="AQ47" s="20"/>
    </row>
    <row r="48" spans="2:43" x14ac:dyDescent="0.25">
      <c r="B48" s="2" t="s">
        <v>13</v>
      </c>
      <c r="C48" s="21"/>
      <c r="D48" s="3"/>
      <c r="E48" s="19"/>
      <c r="F48" s="20"/>
      <c r="G48" s="20"/>
      <c r="I48" s="21"/>
      <c r="J48" s="3"/>
      <c r="K48" s="19"/>
      <c r="L48" s="20"/>
      <c r="M48" s="20"/>
      <c r="O48" s="21"/>
      <c r="P48" s="3"/>
      <c r="Q48" s="19"/>
      <c r="R48" s="20"/>
      <c r="S48" s="20"/>
      <c r="U48" s="21"/>
      <c r="V48" s="3"/>
      <c r="W48" s="19"/>
      <c r="X48" s="20"/>
      <c r="Y48" s="20"/>
      <c r="AA48" s="21"/>
      <c r="AB48" s="3"/>
      <c r="AC48" s="19"/>
      <c r="AD48" s="20"/>
      <c r="AE48" s="20"/>
      <c r="AG48" s="21"/>
      <c r="AH48" s="3"/>
      <c r="AI48" s="19"/>
      <c r="AJ48" s="20"/>
      <c r="AK48" s="20"/>
      <c r="AM48" s="21"/>
      <c r="AN48" s="3"/>
      <c r="AO48" s="19"/>
      <c r="AP48" s="20"/>
      <c r="AQ48" s="20"/>
    </row>
    <row r="49" spans="2:43" ht="5" customHeight="1" x14ac:dyDescent="0.25">
      <c r="C49" s="3"/>
      <c r="D49" s="3"/>
      <c r="E49" s="19"/>
      <c r="F49" s="20"/>
      <c r="G49" s="20"/>
      <c r="I49" s="3"/>
      <c r="J49" s="3"/>
      <c r="K49" s="19"/>
      <c r="L49" s="20"/>
      <c r="M49" s="20"/>
      <c r="O49" s="3"/>
      <c r="P49" s="3"/>
      <c r="Q49" s="19"/>
      <c r="R49" s="20"/>
      <c r="S49" s="20"/>
      <c r="U49" s="3"/>
      <c r="V49" s="3"/>
      <c r="W49" s="19"/>
      <c r="X49" s="20"/>
      <c r="Y49" s="20"/>
      <c r="AA49" s="3"/>
      <c r="AB49" s="3"/>
      <c r="AC49" s="19"/>
      <c r="AD49" s="20"/>
      <c r="AE49" s="20"/>
      <c r="AG49" s="3"/>
      <c r="AH49" s="3"/>
      <c r="AI49" s="19"/>
      <c r="AJ49" s="20"/>
      <c r="AK49" s="20"/>
      <c r="AM49" s="3"/>
      <c r="AN49" s="3"/>
      <c r="AO49" s="19"/>
      <c r="AP49" s="20"/>
      <c r="AQ49" s="20"/>
    </row>
    <row r="50" spans="2:43" x14ac:dyDescent="0.25">
      <c r="B50" s="2" t="s">
        <v>31</v>
      </c>
      <c r="C50" s="21"/>
      <c r="D50" s="3"/>
      <c r="E50" s="19"/>
      <c r="F50" s="20"/>
      <c r="G50" s="20"/>
      <c r="I50" s="21"/>
      <c r="J50" s="3"/>
      <c r="K50" s="19"/>
      <c r="L50" s="20"/>
      <c r="M50" s="20"/>
      <c r="O50" s="21"/>
      <c r="P50" s="3"/>
      <c r="Q50" s="19"/>
      <c r="R50" s="20"/>
      <c r="S50" s="20"/>
      <c r="U50" s="21"/>
      <c r="V50" s="3"/>
      <c r="W50" s="19"/>
      <c r="X50" s="20"/>
      <c r="Y50" s="20"/>
      <c r="AA50" s="21"/>
      <c r="AB50" s="3"/>
      <c r="AC50" s="19"/>
      <c r="AD50" s="20"/>
      <c r="AE50" s="20"/>
      <c r="AG50" s="21"/>
      <c r="AH50" s="3"/>
      <c r="AI50" s="19"/>
      <c r="AJ50" s="20"/>
      <c r="AK50" s="20"/>
      <c r="AM50" s="21"/>
      <c r="AN50" s="3"/>
      <c r="AO50" s="19"/>
      <c r="AP50" s="20"/>
      <c r="AQ50" s="20"/>
    </row>
    <row r="51" spans="2:43" ht="5" customHeight="1" x14ac:dyDescent="0.25">
      <c r="C51" s="3"/>
      <c r="D51" s="3"/>
      <c r="E51" s="19"/>
      <c r="F51" s="20"/>
      <c r="G51" s="20"/>
      <c r="I51" s="3"/>
      <c r="J51" s="3"/>
      <c r="K51" s="19"/>
      <c r="L51" s="20"/>
      <c r="M51" s="20"/>
      <c r="O51" s="3"/>
      <c r="P51" s="3"/>
      <c r="Q51" s="19"/>
      <c r="R51" s="20"/>
      <c r="S51" s="20"/>
      <c r="U51" s="3"/>
      <c r="V51" s="3"/>
      <c r="W51" s="19"/>
      <c r="X51" s="20"/>
      <c r="Y51" s="20"/>
      <c r="AA51" s="3"/>
      <c r="AB51" s="3"/>
      <c r="AC51" s="19"/>
      <c r="AD51" s="20"/>
      <c r="AE51" s="20"/>
      <c r="AG51" s="3"/>
      <c r="AH51" s="3"/>
      <c r="AI51" s="19"/>
      <c r="AJ51" s="20"/>
      <c r="AK51" s="20"/>
      <c r="AM51" s="3"/>
      <c r="AN51" s="3"/>
      <c r="AO51" s="19"/>
      <c r="AP51" s="20"/>
      <c r="AQ51" s="20"/>
    </row>
    <row r="52" spans="2:43" x14ac:dyDescent="0.25">
      <c r="B52" s="2" t="s">
        <v>32</v>
      </c>
      <c r="C52" s="21"/>
      <c r="D52" s="3"/>
      <c r="E52" s="19"/>
      <c r="F52" s="20"/>
      <c r="G52" s="20"/>
      <c r="I52" s="21"/>
      <c r="J52" s="3"/>
      <c r="K52" s="19"/>
      <c r="L52" s="20"/>
      <c r="M52" s="20"/>
      <c r="O52" s="21"/>
      <c r="P52" s="3"/>
      <c r="Q52" s="19"/>
      <c r="R52" s="20"/>
      <c r="S52" s="20"/>
      <c r="U52" s="21"/>
      <c r="V52" s="3"/>
      <c r="W52" s="19"/>
      <c r="X52" s="20"/>
      <c r="Y52" s="20"/>
      <c r="AA52" s="21"/>
      <c r="AB52" s="3"/>
      <c r="AC52" s="19"/>
      <c r="AD52" s="20"/>
      <c r="AE52" s="20"/>
      <c r="AG52" s="21"/>
      <c r="AH52" s="3"/>
      <c r="AI52" s="19"/>
      <c r="AJ52" s="20"/>
      <c r="AK52" s="20"/>
      <c r="AM52" s="21"/>
      <c r="AN52" s="3"/>
      <c r="AO52" s="19"/>
      <c r="AP52" s="20"/>
      <c r="AQ52" s="20"/>
    </row>
    <row r="53" spans="2:43" ht="5" customHeight="1" x14ac:dyDescent="0.25">
      <c r="C53" s="3"/>
      <c r="D53" s="3"/>
      <c r="E53" s="19"/>
      <c r="F53" s="20"/>
      <c r="G53" s="20"/>
      <c r="I53" s="3"/>
      <c r="J53" s="3"/>
      <c r="K53" s="19"/>
      <c r="L53" s="20"/>
      <c r="M53" s="20"/>
      <c r="O53" s="3"/>
      <c r="P53" s="3"/>
      <c r="Q53" s="19"/>
      <c r="R53" s="20"/>
      <c r="S53" s="20"/>
      <c r="U53" s="3"/>
      <c r="V53" s="3"/>
      <c r="W53" s="19"/>
      <c r="X53" s="20"/>
      <c r="Y53" s="20"/>
      <c r="AA53" s="3"/>
      <c r="AB53" s="3"/>
      <c r="AC53" s="19"/>
      <c r="AD53" s="20"/>
      <c r="AE53" s="20"/>
      <c r="AG53" s="3"/>
      <c r="AH53" s="3"/>
      <c r="AI53" s="19"/>
      <c r="AJ53" s="20"/>
      <c r="AK53" s="20"/>
      <c r="AM53" s="3"/>
      <c r="AN53" s="3"/>
      <c r="AO53" s="19"/>
      <c r="AP53" s="20"/>
      <c r="AQ53" s="20"/>
    </row>
    <row r="54" spans="2:43" x14ac:dyDescent="0.25">
      <c r="B54" s="2" t="s">
        <v>28</v>
      </c>
      <c r="C54" s="21"/>
      <c r="D54" s="3"/>
      <c r="E54" s="19"/>
      <c r="F54" s="20"/>
      <c r="G54" s="20"/>
      <c r="I54" s="21"/>
      <c r="J54" s="3"/>
      <c r="K54" s="19"/>
      <c r="L54" s="20"/>
      <c r="M54" s="20"/>
      <c r="O54" s="21"/>
      <c r="P54" s="3"/>
      <c r="Q54" s="19"/>
      <c r="R54" s="20"/>
      <c r="S54" s="20"/>
      <c r="U54" s="21"/>
      <c r="V54" s="3"/>
      <c r="W54" s="19"/>
      <c r="X54" s="20"/>
      <c r="Y54" s="20"/>
      <c r="AA54" s="21"/>
      <c r="AB54" s="3"/>
      <c r="AC54" s="19"/>
      <c r="AD54" s="20"/>
      <c r="AE54" s="20"/>
      <c r="AG54" s="21"/>
      <c r="AH54" s="3"/>
      <c r="AI54" s="19"/>
      <c r="AJ54" s="20"/>
      <c r="AK54" s="20"/>
      <c r="AM54" s="21"/>
      <c r="AN54" s="3"/>
      <c r="AO54" s="19"/>
      <c r="AP54" s="20"/>
      <c r="AQ54" s="20"/>
    </row>
    <row r="55" spans="2:43" ht="5" customHeight="1" x14ac:dyDescent="0.25">
      <c r="C55" s="3"/>
      <c r="D55" s="3"/>
      <c r="E55" s="19"/>
      <c r="F55" s="20"/>
      <c r="G55" s="20"/>
      <c r="I55" s="3"/>
      <c r="J55" s="3"/>
      <c r="K55" s="19"/>
      <c r="L55" s="20"/>
      <c r="M55" s="20"/>
      <c r="O55" s="3"/>
      <c r="P55" s="3"/>
      <c r="Q55" s="19"/>
      <c r="R55" s="20"/>
      <c r="S55" s="20"/>
      <c r="U55" s="3"/>
      <c r="V55" s="3"/>
      <c r="W55" s="19"/>
      <c r="X55" s="20"/>
      <c r="Y55" s="20"/>
      <c r="AA55" s="3"/>
      <c r="AB55" s="3"/>
      <c r="AC55" s="19"/>
      <c r="AD55" s="20"/>
      <c r="AE55" s="20"/>
      <c r="AG55" s="3"/>
      <c r="AH55" s="3"/>
      <c r="AI55" s="19"/>
      <c r="AJ55" s="20"/>
      <c r="AK55" s="20"/>
      <c r="AM55" s="3"/>
      <c r="AN55" s="3"/>
      <c r="AO55" s="19"/>
      <c r="AP55" s="20"/>
      <c r="AQ55" s="20"/>
    </row>
    <row r="56" spans="2:43" x14ac:dyDescent="0.25">
      <c r="B56" s="2" t="s">
        <v>21</v>
      </c>
      <c r="C56" s="21"/>
      <c r="D56" s="3"/>
      <c r="E56" s="19"/>
      <c r="F56" s="20"/>
      <c r="G56" s="20"/>
      <c r="I56" s="21"/>
      <c r="J56" s="3"/>
      <c r="K56" s="19"/>
      <c r="L56" s="20"/>
      <c r="M56" s="20"/>
      <c r="O56" s="21"/>
      <c r="P56" s="3"/>
      <c r="Q56" s="19"/>
      <c r="R56" s="20"/>
      <c r="S56" s="20"/>
      <c r="U56" s="21"/>
      <c r="V56" s="3"/>
      <c r="W56" s="19"/>
      <c r="X56" s="20"/>
      <c r="Y56" s="20"/>
      <c r="AA56" s="21"/>
      <c r="AB56" s="3"/>
      <c r="AC56" s="19"/>
      <c r="AD56" s="20"/>
      <c r="AE56" s="20"/>
      <c r="AG56" s="21"/>
      <c r="AH56" s="3"/>
      <c r="AI56" s="19"/>
      <c r="AJ56" s="20"/>
      <c r="AK56" s="20"/>
      <c r="AM56" s="21"/>
      <c r="AN56" s="3"/>
      <c r="AO56" s="19"/>
      <c r="AP56" s="20"/>
      <c r="AQ56" s="20"/>
    </row>
    <row r="57" spans="2:43" ht="5" customHeight="1" x14ac:dyDescent="0.25">
      <c r="C57" s="3"/>
      <c r="D57" s="3"/>
      <c r="E57" s="19"/>
      <c r="F57" s="20"/>
      <c r="G57" s="20"/>
      <c r="I57" s="3"/>
      <c r="J57" s="3"/>
      <c r="K57" s="19"/>
      <c r="L57" s="20"/>
      <c r="M57" s="20"/>
      <c r="O57" s="3"/>
      <c r="P57" s="3"/>
      <c r="Q57" s="19"/>
      <c r="R57" s="20"/>
      <c r="S57" s="20"/>
      <c r="U57" s="3"/>
      <c r="V57" s="3"/>
      <c r="W57" s="19"/>
      <c r="X57" s="20"/>
      <c r="Y57" s="20"/>
      <c r="AA57" s="3"/>
      <c r="AB57" s="3"/>
      <c r="AC57" s="19"/>
      <c r="AD57" s="20"/>
      <c r="AE57" s="20"/>
      <c r="AG57" s="3"/>
      <c r="AH57" s="3"/>
      <c r="AI57" s="19"/>
      <c r="AJ57" s="20"/>
      <c r="AK57" s="20"/>
      <c r="AM57" s="3"/>
      <c r="AN57" s="3"/>
      <c r="AO57" s="19"/>
      <c r="AP57" s="20"/>
      <c r="AQ57" s="20"/>
    </row>
    <row r="58" spans="2:43" x14ac:dyDescent="0.25">
      <c r="B58" s="2" t="s">
        <v>14</v>
      </c>
      <c r="C58" s="21"/>
      <c r="D58" s="3"/>
      <c r="E58" s="3"/>
      <c r="I58" s="21"/>
      <c r="J58" s="3"/>
      <c r="K58" s="3"/>
      <c r="O58" s="21"/>
      <c r="P58" s="3"/>
      <c r="Q58" s="3"/>
      <c r="U58" s="21"/>
      <c r="V58" s="3"/>
      <c r="W58" s="3"/>
      <c r="AA58" s="21"/>
      <c r="AB58" s="3"/>
      <c r="AC58" s="3"/>
      <c r="AG58" s="21"/>
      <c r="AH58" s="3"/>
      <c r="AI58" s="3"/>
      <c r="AM58" s="21"/>
      <c r="AN58" s="3"/>
      <c r="AO58" s="3"/>
    </row>
    <row r="59" spans="2:43" ht="5" customHeight="1" x14ac:dyDescent="0.25">
      <c r="C59" s="14"/>
      <c r="D59" s="3"/>
      <c r="E59" s="3"/>
      <c r="I59" s="14"/>
      <c r="J59" s="3"/>
      <c r="K59" s="3"/>
      <c r="O59" s="14"/>
      <c r="P59" s="3"/>
      <c r="Q59" s="3"/>
      <c r="U59" s="14"/>
      <c r="V59" s="3"/>
      <c r="W59" s="3"/>
      <c r="AA59" s="14"/>
      <c r="AB59" s="3"/>
      <c r="AC59" s="3"/>
      <c r="AG59" s="14"/>
      <c r="AH59" s="3"/>
      <c r="AI59" s="3"/>
      <c r="AM59" s="14"/>
      <c r="AN59" s="3"/>
      <c r="AO59" s="3"/>
    </row>
    <row r="60" spans="2:43" x14ac:dyDescent="0.25">
      <c r="B60" s="2" t="s">
        <v>50</v>
      </c>
      <c r="C60" s="21"/>
      <c r="D60" s="3"/>
      <c r="E60" s="3"/>
      <c r="I60" s="21"/>
      <c r="J60" s="3"/>
      <c r="K60" s="3"/>
      <c r="O60" s="21"/>
      <c r="P60" s="3"/>
      <c r="Q60" s="3"/>
      <c r="U60" s="21"/>
      <c r="V60" s="3"/>
      <c r="W60" s="3"/>
      <c r="AA60" s="21"/>
      <c r="AB60" s="3"/>
      <c r="AC60" s="3"/>
      <c r="AG60" s="21"/>
      <c r="AH60" s="3"/>
      <c r="AI60" s="3"/>
      <c r="AM60" s="21"/>
      <c r="AN60" s="3"/>
      <c r="AO60" s="3"/>
    </row>
    <row r="61" spans="2:43" ht="5" customHeight="1" x14ac:dyDescent="0.25">
      <c r="C61" s="3"/>
      <c r="D61" s="3"/>
      <c r="E61" s="3"/>
      <c r="I61" s="3"/>
      <c r="J61" s="3"/>
      <c r="K61" s="3"/>
      <c r="O61" s="3"/>
      <c r="P61" s="3"/>
      <c r="Q61" s="3"/>
      <c r="U61" s="3"/>
      <c r="V61" s="3"/>
      <c r="W61" s="3"/>
      <c r="AA61" s="3"/>
      <c r="AB61" s="3"/>
      <c r="AC61" s="3"/>
      <c r="AG61" s="3"/>
      <c r="AH61" s="3"/>
      <c r="AI61" s="3"/>
      <c r="AM61" s="3"/>
      <c r="AN61" s="3"/>
      <c r="AO61" s="3"/>
    </row>
    <row r="62" spans="2:43" x14ac:dyDescent="0.25">
      <c r="B62" s="2" t="s">
        <v>29</v>
      </c>
      <c r="C62" s="3">
        <f>C10+C12+C14+C16+C18+C20+C22+C24+C26+C28+C30+C32+C34+C36+C38+C40+C42+C44+C46+C48+C50+C52+C54+C56+C58</f>
        <v>0</v>
      </c>
      <c r="D62" s="3"/>
      <c r="E62" s="3"/>
      <c r="I62" s="3">
        <f>I10+I12+I14+I16+I18+I20+I22+I24+I26+I28+I30+I32+I34+I36+I38+I40+I42+I44+I46+I48+I50+I52+I54+I56+I58</f>
        <v>0</v>
      </c>
      <c r="J62" s="3"/>
      <c r="K62" s="3"/>
      <c r="O62" s="3">
        <f>O10+O12+O14+O16+O18+O20+O22+O24+O26+O28+O30+O32+O34+O36+O38+O40+O42+O44+O46+O48+O50+O52+O54+O56+O58</f>
        <v>0</v>
      </c>
      <c r="P62" s="3"/>
      <c r="Q62" s="3"/>
      <c r="U62" s="3">
        <f>U10+U12+U14+U16+U18+U20+U22+U24+U26+U28+U30+U32+U34+U36+U38+U40+U42+U44+U46+U48+U50+U52+U54+U56+U58</f>
        <v>0</v>
      </c>
      <c r="V62" s="3"/>
      <c r="W62" s="3"/>
      <c r="AA62" s="3">
        <f>AA10+AA12+AA14+AA16+AA18+AA20+AA22+AA24+AA26+AA28+AA30+AA32+AA34+AA36+AA38+AA40+AA42+AA44+AA46+AA48+AA50+AA52+AA54+AA56+AA58</f>
        <v>0</v>
      </c>
      <c r="AB62" s="3"/>
      <c r="AC62" s="3"/>
      <c r="AG62" s="3">
        <f>AG10+AG12+AG14+AG16+AG18+AG20+AG22+AG24+AG26+AG28+AG30+AG32+AG34+AG36+AG38+AG40+AG42+AG44+AG46+AG48+AG50+AG52+AG54+AG56+AG58</f>
        <v>0</v>
      </c>
      <c r="AH62" s="3"/>
      <c r="AI62" s="3"/>
      <c r="AM62" s="3">
        <f>AM10+AM12+AM14+AM16+AM18+AM20+AM22+AM24+AM26+AM28+AM30+AM32+AM34+AM36+AM38+AM40+AM42+AM44+AM46+AM48+AM50+AM52+AM54+AM56+AM58</f>
        <v>0</v>
      </c>
      <c r="AN62" s="3"/>
      <c r="AO62" s="3"/>
    </row>
    <row r="63" spans="2:43" ht="5" customHeight="1" x14ac:dyDescent="0.25">
      <c r="C63" s="3"/>
      <c r="D63" s="3"/>
      <c r="E63" s="3"/>
      <c r="I63" s="3"/>
      <c r="J63" s="3"/>
      <c r="K63" s="3"/>
      <c r="O63" s="3"/>
      <c r="P63" s="3"/>
      <c r="Q63" s="3"/>
      <c r="U63" s="3"/>
      <c r="V63" s="3"/>
      <c r="W63" s="3"/>
      <c r="AA63" s="3"/>
      <c r="AB63" s="3"/>
      <c r="AC63" s="3"/>
      <c r="AG63" s="3"/>
      <c r="AH63" s="3"/>
      <c r="AI63" s="3"/>
      <c r="AM63" s="3"/>
      <c r="AN63" s="3"/>
      <c r="AO63" s="3"/>
    </row>
    <row r="64" spans="2:43" x14ac:dyDescent="0.25">
      <c r="B64" s="2" t="s">
        <v>30</v>
      </c>
      <c r="C64" s="3">
        <f>C10+C12+C14+C16+C18+C20+C22+C24+C26+C28+C30+C32+C34+C36+C38+C40+C42+C44+C46+C48+C50+C52+C54+C56</f>
        <v>0</v>
      </c>
      <c r="D64" s="3"/>
      <c r="E64" s="3"/>
      <c r="I64" s="3">
        <f>I10+I12+I14+I16+I18+I20+I22+I24+I26+I28+I30+I32+I34+I36+I38+I40+I42+I44+I46+I48+I50+I52+I54+I56</f>
        <v>0</v>
      </c>
      <c r="J64" s="3"/>
      <c r="K64" s="3"/>
      <c r="O64" s="3">
        <f>O10+O12+O14+O16+O18+O20+O22+O24+O26+O28+O30+O32+O34+O36+O38+O40+O42+O44+O46+O48+O50+O52+O54+O56</f>
        <v>0</v>
      </c>
      <c r="P64" s="3"/>
      <c r="Q64" s="3"/>
      <c r="U64" s="3">
        <f>U10+U12+U14+U16+U18+U20+U22+U24+U26+U28+U30+U32+U34+U36+U38+U40+U42+U44+U46+U48+U50+U52+U54+U56</f>
        <v>0</v>
      </c>
      <c r="V64" s="3"/>
      <c r="W64" s="3"/>
      <c r="AA64" s="3">
        <f>AA10+AA12+AA14+AA16+AA18+AA20+AA22+AA24+AA26+AA28+AA30+AA32+AA34+AA36+AA38+AA40+AA42+AA44+AA46+AA48+AA50+AA52+AA54+AA56</f>
        <v>0</v>
      </c>
      <c r="AB64" s="3"/>
      <c r="AC64" s="3"/>
      <c r="AG64" s="3">
        <f>AG10+AG12+AG14+AG16+AG18+AG20+AG22+AG24+AG26+AG28+AG30+AG32+AG34+AG36+AG38+AG40+AG42+AG44+AG46+AG48+AG50+AG52+AG54+AG56</f>
        <v>0</v>
      </c>
      <c r="AH64" s="3"/>
      <c r="AI64" s="3"/>
      <c r="AM64" s="3">
        <f>AM10+AM12+AM14+AM16+AM18+AM20+AM22+AM24+AM26+AM28+AM30+AM32+AM34+AM36+AM38+AM40+AM42+AM44+AM46+AM48+AM50+AM52+AM54+AM56</f>
        <v>0</v>
      </c>
      <c r="AN64" s="3"/>
      <c r="AO64" s="3"/>
    </row>
    <row r="65" spans="2:41" ht="5" customHeight="1" x14ac:dyDescent="0.25">
      <c r="C65" s="3"/>
      <c r="D65" s="3"/>
      <c r="E65" s="3"/>
      <c r="I65" s="3"/>
      <c r="J65" s="3"/>
      <c r="K65" s="3"/>
      <c r="O65" s="3"/>
      <c r="P65" s="3"/>
      <c r="Q65" s="3"/>
      <c r="U65" s="3"/>
      <c r="V65" s="3"/>
      <c r="W65" s="3"/>
      <c r="AA65" s="3"/>
      <c r="AB65" s="3"/>
      <c r="AC65" s="3"/>
      <c r="AG65" s="3"/>
      <c r="AH65" s="3"/>
      <c r="AI65" s="3"/>
      <c r="AM65" s="3"/>
      <c r="AN65" s="3"/>
      <c r="AO65" s="3"/>
    </row>
    <row r="66" spans="2:41" x14ac:dyDescent="0.25">
      <c r="B66" s="2" t="s">
        <v>33</v>
      </c>
      <c r="C66" s="3">
        <f>C10+C12+C14+C16+C30+C32+C42+C44+C46+C48+C52+C54+C56</f>
        <v>0</v>
      </c>
      <c r="D66" s="3"/>
      <c r="E66" s="3"/>
      <c r="I66" s="3">
        <f>I10+I12+I14+I16+I30+I32+I42+I44+I46+I48+I52+I54+I56</f>
        <v>0</v>
      </c>
      <c r="J66" s="3"/>
      <c r="K66" s="3"/>
      <c r="O66" s="3">
        <f>O10+O12+O14+O16+O30+O32+O42+O44+O46+O48+O52+O54+O56</f>
        <v>0</v>
      </c>
      <c r="P66" s="3"/>
      <c r="Q66" s="3"/>
      <c r="U66" s="3">
        <f>U10+U12+U14+U16+U30+U32+U42+U44+U46+U48+U52+U54+U56</f>
        <v>0</v>
      </c>
      <c r="V66" s="3"/>
      <c r="W66" s="3"/>
      <c r="AA66" s="3">
        <f>AA10+AA12+AA14+AA16+AA30+AA32+AA42+AA44+AA46+AA48+AA52+AA54+AA56</f>
        <v>0</v>
      </c>
      <c r="AB66" s="3"/>
      <c r="AC66" s="3"/>
      <c r="AG66" s="3">
        <f>AG10+AG12+AG14+AG16+AG30+AG32+AG42+AG44+AG46+AG48+AG52+AG54+AG56</f>
        <v>0</v>
      </c>
      <c r="AH66" s="3"/>
      <c r="AI66" s="3"/>
      <c r="AM66" s="3">
        <f>AM10+AM12+AM14+AM16+AM30+AM32+AM42+AM44+AM46+AM48+AM52+AM54+AM56</f>
        <v>0</v>
      </c>
      <c r="AN66" s="3"/>
      <c r="AO66" s="3"/>
    </row>
    <row r="67" spans="2:41" ht="5" customHeight="1" x14ac:dyDescent="0.25">
      <c r="C67" s="3"/>
      <c r="D67" s="3"/>
      <c r="E67" s="3"/>
      <c r="I67" s="3"/>
      <c r="J67" s="3"/>
      <c r="K67" s="3"/>
      <c r="O67" s="3"/>
      <c r="P67" s="3"/>
      <c r="Q67" s="3"/>
      <c r="U67" s="3"/>
      <c r="V67" s="3"/>
      <c r="W67" s="3"/>
      <c r="AA67" s="3"/>
      <c r="AB67" s="3"/>
      <c r="AC67" s="3"/>
      <c r="AG67" s="3"/>
      <c r="AH67" s="3"/>
      <c r="AI67" s="3"/>
      <c r="AM67" s="3"/>
      <c r="AN67" s="3"/>
      <c r="AO67" s="3"/>
    </row>
    <row r="68" spans="2:41" x14ac:dyDescent="0.25">
      <c r="B68" s="2" t="s">
        <v>34</v>
      </c>
      <c r="C68" s="3">
        <f>I10+I12+I14+I16+I42+I52</f>
        <v>0</v>
      </c>
      <c r="D68" s="3"/>
      <c r="E68" s="3"/>
      <c r="I68" s="3">
        <f>O10+O12+O14+O16+O42+O52</f>
        <v>0</v>
      </c>
      <c r="J68" s="3"/>
      <c r="K68" s="3"/>
      <c r="O68" s="3">
        <f>U10+U12+U14+U16+U42+U52</f>
        <v>0</v>
      </c>
      <c r="P68" s="3"/>
      <c r="Q68" s="3"/>
      <c r="U68" s="3">
        <f>AA10+AA12+AA14+AA16+AA42+AA52</f>
        <v>0</v>
      </c>
      <c r="V68" s="3"/>
      <c r="W68" s="3"/>
      <c r="AA68" s="3">
        <f>AG10+AG12+AG14+AG16+AG42+AG52</f>
        <v>0</v>
      </c>
      <c r="AB68" s="3"/>
      <c r="AC68" s="3"/>
      <c r="AG68" s="3">
        <f>AM10+AM12+AM14+AM16+AM42+AM52</f>
        <v>0</v>
      </c>
      <c r="AH68" s="3"/>
      <c r="AI68" s="3"/>
      <c r="AM68" s="3">
        <f>AS10+AS12+AS14+AS16+AS42+AS52</f>
        <v>0</v>
      </c>
      <c r="AN68" s="3"/>
      <c r="AO68" s="3"/>
    </row>
    <row r="69" spans="2:41" ht="5" customHeight="1" x14ac:dyDescent="0.25">
      <c r="C69" s="3"/>
      <c r="D69" s="3"/>
      <c r="E69" s="3"/>
      <c r="I69" s="3"/>
      <c r="J69" s="3"/>
      <c r="K69" s="3"/>
      <c r="O69" s="3"/>
      <c r="P69" s="3"/>
      <c r="Q69" s="3"/>
      <c r="U69" s="3"/>
      <c r="V69" s="3"/>
      <c r="W69" s="3"/>
      <c r="AA69" s="3"/>
      <c r="AB69" s="3"/>
      <c r="AC69" s="3"/>
      <c r="AG69" s="3"/>
      <c r="AH69" s="3"/>
      <c r="AI69" s="3"/>
      <c r="AM69" s="3"/>
      <c r="AN69" s="3"/>
      <c r="AO69" s="3"/>
    </row>
    <row r="70" spans="2:41" x14ac:dyDescent="0.25">
      <c r="B70" s="2" t="s">
        <v>36</v>
      </c>
      <c r="C70" s="3">
        <f>C40+C42+C44+C46+C48+C54</f>
        <v>0</v>
      </c>
      <c r="D70" s="3"/>
      <c r="E70" s="3"/>
      <c r="I70" s="3">
        <f>I40+I42+I44+I46+I48+I54</f>
        <v>0</v>
      </c>
      <c r="J70" s="3"/>
      <c r="K70" s="3"/>
      <c r="O70" s="3">
        <f>O40+O42+O44+O46+O48+O54</f>
        <v>0</v>
      </c>
      <c r="P70" s="3"/>
      <c r="Q70" s="3"/>
      <c r="U70" s="3">
        <f>U40+U42+U44+U46+U48+U54</f>
        <v>0</v>
      </c>
      <c r="V70" s="3"/>
      <c r="W70" s="3"/>
      <c r="AA70" s="3">
        <f>AA40+AA42+AA44+AA46+AA48+AA54</f>
        <v>0</v>
      </c>
      <c r="AB70" s="3"/>
      <c r="AC70" s="3"/>
      <c r="AG70" s="3">
        <f>AG40+AG42+AG44+AG46+AG48+AG54</f>
        <v>0</v>
      </c>
      <c r="AH70" s="3"/>
      <c r="AI70" s="3"/>
      <c r="AM70" s="3">
        <f>AM40+AM42+AM44+AM46+AM48+AM54</f>
        <v>0</v>
      </c>
      <c r="AN70" s="3"/>
      <c r="AO70" s="3"/>
    </row>
    <row r="71" spans="2:41" ht="5" customHeight="1" x14ac:dyDescent="0.25">
      <c r="C71" s="3"/>
      <c r="D71" s="3"/>
      <c r="E71" s="3"/>
      <c r="I71" s="3"/>
      <c r="J71" s="3"/>
      <c r="K71" s="3"/>
      <c r="O71" s="3"/>
      <c r="P71" s="3"/>
      <c r="Q71" s="3"/>
      <c r="U71" s="3"/>
      <c r="V71" s="3"/>
      <c r="W71" s="3"/>
      <c r="AA71" s="3"/>
      <c r="AB71" s="3"/>
      <c r="AC71" s="3"/>
      <c r="AG71" s="3"/>
      <c r="AH71" s="3"/>
      <c r="AI71" s="3"/>
      <c r="AM71" s="3"/>
      <c r="AN71" s="3"/>
      <c r="AO71" s="3"/>
    </row>
    <row r="72" spans="2:41" x14ac:dyDescent="0.25">
      <c r="B72" s="2" t="s">
        <v>35</v>
      </c>
      <c r="C72" s="3">
        <f>I30+I32+I44+I52+C60</f>
        <v>0</v>
      </c>
      <c r="D72" s="3"/>
      <c r="E72" s="3"/>
      <c r="I72" s="3">
        <f>O30+O32+O44+O52+I60</f>
        <v>0</v>
      </c>
      <c r="J72" s="3"/>
      <c r="K72" s="3"/>
      <c r="O72" s="3">
        <f>U30+U32+U44+U52+O60</f>
        <v>0</v>
      </c>
      <c r="P72" s="3"/>
      <c r="Q72" s="3"/>
      <c r="U72" s="3">
        <f>AA30+AA32+AA44+AA52+U60</f>
        <v>0</v>
      </c>
      <c r="V72" s="3"/>
      <c r="W72" s="3"/>
      <c r="AA72" s="3">
        <f>AG30+AG32+AG44+AG52+AA60</f>
        <v>0</v>
      </c>
      <c r="AB72" s="3"/>
      <c r="AC72" s="3"/>
      <c r="AG72" s="3">
        <f>AM30+AM32+AM44+AM52+AG60</f>
        <v>0</v>
      </c>
      <c r="AH72" s="3"/>
      <c r="AI72" s="3"/>
      <c r="AM72" s="3">
        <f>AS30+AS32+AS44+AS52+AM60</f>
        <v>0</v>
      </c>
      <c r="AN72" s="3"/>
      <c r="AO72" s="3"/>
    </row>
    <row r="73" spans="2:41" ht="5" customHeight="1" x14ac:dyDescent="0.25">
      <c r="C73" s="3"/>
      <c r="D73" s="3"/>
      <c r="E73" s="3"/>
      <c r="I73" s="3"/>
      <c r="J73" s="3"/>
      <c r="K73" s="3"/>
      <c r="O73" s="3"/>
      <c r="P73" s="3"/>
      <c r="Q73" s="3"/>
      <c r="U73" s="3"/>
      <c r="V73" s="3"/>
      <c r="W73" s="3"/>
      <c r="AA73" s="3"/>
      <c r="AB73" s="3"/>
      <c r="AC73" s="3"/>
      <c r="AG73" s="3"/>
      <c r="AH73" s="3"/>
      <c r="AI73" s="3"/>
      <c r="AM73" s="3"/>
      <c r="AN73" s="3"/>
      <c r="AO73" s="3"/>
    </row>
    <row r="74" spans="2:41" x14ac:dyDescent="0.25">
      <c r="B74" s="2" t="s">
        <v>39</v>
      </c>
      <c r="C74" s="3">
        <f>C10+C12+C14+C16+C18+C20+C22+C24+C26+C28+C38+C40+C42+C50+C52</f>
        <v>0</v>
      </c>
      <c r="D74" s="3"/>
      <c r="E74" s="3"/>
      <c r="I74" s="3">
        <f>I10+I12+I14+I16+I18+I20+I22+I24+I26+I28+I38+I40+I42+I50+I52</f>
        <v>0</v>
      </c>
      <c r="J74" s="3"/>
      <c r="K74" s="3"/>
      <c r="O74" s="3">
        <f>O10+O12+O14+O16+O18+O20+O22+O24+O26+O28+O38+O40+O42+O50+O52</f>
        <v>0</v>
      </c>
      <c r="P74" s="3"/>
      <c r="Q74" s="3"/>
      <c r="U74" s="3">
        <f>U10+U12+U14+U16+U18+U20+U22+U24+U26+U28+U38+U40+U42+U50+U52</f>
        <v>0</v>
      </c>
      <c r="V74" s="3"/>
      <c r="W74" s="3"/>
      <c r="AA74" s="3">
        <f>AA10+AA12+AA14+AA16+AA18+AA20+AA22+AA24+AA26+AA28+AA38+AA40+AA42+AA50+AA52</f>
        <v>0</v>
      </c>
      <c r="AB74" s="3"/>
      <c r="AC74" s="3"/>
      <c r="AG74" s="3">
        <f>AG10+AG12+AG14+AG16+AG18+AG20+AG22+AG24+AG26+AG28+AG38+AG40+AG42+AG50+AG52</f>
        <v>0</v>
      </c>
      <c r="AH74" s="3"/>
      <c r="AI74" s="3"/>
      <c r="AM74" s="3">
        <f>AM10+AM12+AM14+AM16+AM18+AM20+AM22+AM24+AM26+AM28+AM38+AM40+AM42+AM50+AM52</f>
        <v>0</v>
      </c>
      <c r="AN74" s="3"/>
      <c r="AO74" s="3"/>
    </row>
    <row r="75" spans="2:41" ht="5" customHeight="1" x14ac:dyDescent="0.25">
      <c r="C75" s="3"/>
      <c r="D75" s="3"/>
      <c r="E75" s="3"/>
      <c r="I75" s="3"/>
      <c r="J75" s="3"/>
      <c r="K75" s="3"/>
      <c r="O75" s="3"/>
      <c r="P75" s="3"/>
      <c r="Q75" s="3"/>
      <c r="U75" s="3"/>
      <c r="V75" s="3"/>
      <c r="W75" s="3"/>
      <c r="AA75" s="3"/>
      <c r="AB75" s="3"/>
      <c r="AC75" s="3"/>
      <c r="AG75" s="3"/>
      <c r="AH75" s="3"/>
      <c r="AI75" s="3"/>
      <c r="AM75" s="3"/>
      <c r="AN75" s="3"/>
      <c r="AO75" s="3"/>
    </row>
    <row r="76" spans="2:41" x14ac:dyDescent="0.25">
      <c r="B76" s="2" t="s">
        <v>40</v>
      </c>
      <c r="C76" s="3">
        <f>C64-C68-C70-C72-C56-C36</f>
        <v>0</v>
      </c>
      <c r="D76" s="3"/>
      <c r="E76" s="3"/>
      <c r="I76" s="3">
        <f>I64-I68-I70-I72-I56-I36</f>
        <v>0</v>
      </c>
      <c r="J76" s="3"/>
      <c r="K76" s="3"/>
      <c r="O76" s="3">
        <f>O64-O68-O70-O72-O56-O36</f>
        <v>0</v>
      </c>
      <c r="P76" s="3"/>
      <c r="Q76" s="3"/>
      <c r="U76" s="3">
        <f>U64-U68-U70-U72-U56-U36</f>
        <v>0</v>
      </c>
      <c r="V76" s="3"/>
      <c r="W76" s="3"/>
      <c r="AA76" s="3">
        <f>AA64-AA68-AA70-AA72-AA56-AA36</f>
        <v>0</v>
      </c>
      <c r="AB76" s="3"/>
      <c r="AC76" s="3"/>
      <c r="AG76" s="3">
        <f>AG64-AG68-AG70-AG72-AG56-AG36</f>
        <v>0</v>
      </c>
      <c r="AH76" s="3"/>
      <c r="AI76" s="3"/>
      <c r="AM76" s="3">
        <f>AM64-AM68-AM70-AM72-AM56-AM36</f>
        <v>0</v>
      </c>
      <c r="AN76" s="3"/>
      <c r="AO76" s="3"/>
    </row>
    <row r="77" spans="2:41" ht="5" customHeight="1" x14ac:dyDescent="0.25"/>
    <row r="78" spans="2:41" x14ac:dyDescent="0.25">
      <c r="B78" s="2" t="s">
        <v>37</v>
      </c>
      <c r="C78" s="21"/>
      <c r="D78" s="3"/>
      <c r="E78" s="3"/>
      <c r="I78" s="21"/>
      <c r="J78" s="3"/>
      <c r="K78" s="3"/>
      <c r="O78" s="21"/>
      <c r="P78" s="3"/>
      <c r="Q78" s="3"/>
      <c r="U78" s="21"/>
      <c r="V78" s="3"/>
      <c r="W78" s="3"/>
      <c r="AA78" s="21"/>
      <c r="AB78" s="3"/>
      <c r="AC78" s="3"/>
      <c r="AG78" s="21"/>
      <c r="AH78" s="3"/>
      <c r="AI78" s="3"/>
      <c r="AM78" s="21"/>
      <c r="AN78" s="3"/>
      <c r="AO78" s="3"/>
    </row>
    <row r="80" spans="2:41" x14ac:dyDescent="0.25">
      <c r="B80" s="5"/>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B354-960E-495A-A1B9-36A7433E1084}">
  <dimension ref="B1:AK306"/>
  <sheetViews>
    <sheetView workbookViewId="0">
      <pane ySplit="8" topLeftCell="A9" activePane="bottomLeft" state="frozen"/>
      <selection pane="bottomLeft" activeCell="F13" sqref="F13"/>
    </sheetView>
  </sheetViews>
  <sheetFormatPr defaultRowHeight="11.5" x14ac:dyDescent="0.25"/>
  <cols>
    <col min="1" max="1" width="1.69921875" style="2" customWidth="1"/>
    <col min="2" max="2" width="39" style="2" customWidth="1"/>
    <col min="3" max="3" width="6.69921875" style="2" customWidth="1"/>
    <col min="4" max="4" width="2.69921875" style="2" customWidth="1"/>
    <col min="5" max="5" width="1.69921875" style="2" customWidth="1"/>
    <col min="6" max="6" width="6.69921875" style="2" customWidth="1"/>
    <col min="7" max="7" width="1.69921875" style="2" customWidth="1"/>
    <col min="8" max="8" width="6.69921875" style="2" customWidth="1"/>
    <col min="9" max="9" width="1.69921875" style="2" customWidth="1"/>
    <col min="10" max="10" width="6.69921875" style="2" customWidth="1"/>
    <col min="11" max="11" width="10.5" style="2" customWidth="1"/>
    <col min="12" max="12" width="4.69921875" style="2" customWidth="1"/>
    <col min="13" max="13" width="43.5" style="2" customWidth="1"/>
    <col min="14" max="14" width="6.69921875" style="2" customWidth="1"/>
    <col min="15" max="15" width="2.69921875" style="2" customWidth="1"/>
    <col min="16" max="16" width="1.69921875" style="2" customWidth="1"/>
    <col min="17" max="17" width="6.69921875" style="2" customWidth="1"/>
    <col min="18" max="18" width="1.69921875" style="2" customWidth="1"/>
    <col min="19" max="19" width="6.69921875" style="2" customWidth="1"/>
    <col min="20" max="20" width="1.69921875" style="2" customWidth="1"/>
    <col min="21" max="21" width="6.69921875" style="2" customWidth="1"/>
    <col min="22" max="22" width="8.796875" style="2"/>
    <col min="23" max="23" width="9.5" style="2" customWidth="1"/>
    <col min="24" max="24" width="9.3984375" style="2" customWidth="1"/>
    <col min="25" max="25" width="4.69921875" style="2" customWidth="1"/>
    <col min="26" max="26" width="42.3984375" style="2" customWidth="1"/>
    <col min="27" max="27" width="6.69921875" style="2" customWidth="1"/>
    <col min="28" max="28" width="2.69921875" style="2" customWidth="1"/>
    <col min="29" max="29" width="1.69921875" style="2" customWidth="1"/>
    <col min="30" max="30" width="6.69921875" style="2" customWidth="1"/>
    <col min="31" max="31" width="1.69921875" style="2" customWidth="1"/>
    <col min="32" max="32" width="6.69921875" style="2" customWidth="1"/>
    <col min="33" max="33" width="1.69921875" style="2" customWidth="1"/>
    <col min="34" max="34" width="6.69921875" style="2" customWidth="1"/>
    <col min="35" max="35" width="8.09765625" style="2" customWidth="1"/>
    <col min="36" max="36" width="9.19921875" style="2" customWidth="1"/>
    <col min="37" max="37" width="9.59765625" style="2" customWidth="1"/>
    <col min="38" max="16384" width="8.796875" style="2"/>
  </cols>
  <sheetData>
    <row r="1" spans="2:37" ht="18" x14ac:dyDescent="0.4">
      <c r="B1" s="1" t="s">
        <v>260</v>
      </c>
      <c r="C1" s="1"/>
      <c r="D1" s="1"/>
      <c r="E1" s="1"/>
    </row>
    <row r="3" spans="2:37" x14ac:dyDescent="0.25">
      <c r="B3" s="2" t="s">
        <v>220</v>
      </c>
      <c r="C3" s="49" t="s">
        <v>222</v>
      </c>
      <c r="F3" s="2" t="s">
        <v>319</v>
      </c>
    </row>
    <row r="4" spans="2:37" ht="5" customHeight="1" x14ac:dyDescent="0.25">
      <c r="C4" s="23"/>
    </row>
    <row r="5" spans="2:37" x14ac:dyDescent="0.25">
      <c r="B5" s="2" t="s">
        <v>221</v>
      </c>
      <c r="C5" s="49" t="s">
        <v>223</v>
      </c>
    </row>
    <row r="6" spans="2:37" ht="5" customHeight="1" x14ac:dyDescent="0.25"/>
    <row r="7" spans="2:37" x14ac:dyDescent="0.25">
      <c r="B7" s="2" t="s">
        <v>43</v>
      </c>
    </row>
    <row r="8" spans="2:37" ht="31.5" thickBot="1" x14ac:dyDescent="0.4">
      <c r="B8" s="24" t="s">
        <v>44</v>
      </c>
      <c r="C8" s="7"/>
      <c r="D8" s="7"/>
      <c r="E8" s="7"/>
      <c r="F8" s="7"/>
      <c r="G8" s="7"/>
      <c r="H8" s="7"/>
      <c r="I8" s="7"/>
      <c r="J8" s="7"/>
      <c r="K8" s="7"/>
      <c r="M8" s="25" t="s">
        <v>214</v>
      </c>
      <c r="N8" s="26" t="s">
        <v>62</v>
      </c>
      <c r="O8" s="7"/>
      <c r="P8" s="7"/>
      <c r="Q8" s="26" t="s">
        <v>15</v>
      </c>
      <c r="R8" s="26"/>
      <c r="S8" s="26" t="s">
        <v>63</v>
      </c>
      <c r="T8" s="27"/>
      <c r="U8" s="28" t="s">
        <v>188</v>
      </c>
      <c r="V8" s="28" t="s">
        <v>189</v>
      </c>
      <c r="W8" s="29" t="s">
        <v>226</v>
      </c>
      <c r="X8" s="29" t="s">
        <v>225</v>
      </c>
      <c r="Z8" s="25" t="s">
        <v>213</v>
      </c>
      <c r="AA8" s="26" t="s">
        <v>62</v>
      </c>
      <c r="AB8" s="7"/>
      <c r="AC8" s="7"/>
      <c r="AD8" s="26" t="s">
        <v>15</v>
      </c>
      <c r="AE8" s="26"/>
      <c r="AF8" s="26" t="s">
        <v>63</v>
      </c>
      <c r="AG8" s="27"/>
      <c r="AH8" s="28" t="s">
        <v>188</v>
      </c>
      <c r="AI8" s="28" t="s">
        <v>189</v>
      </c>
      <c r="AJ8" s="29" t="s">
        <v>226</v>
      </c>
      <c r="AK8" s="29" t="s">
        <v>225</v>
      </c>
    </row>
    <row r="9" spans="2:37" ht="5" customHeight="1" x14ac:dyDescent="0.25"/>
    <row r="10" spans="2:37" ht="14" x14ac:dyDescent="0.3">
      <c r="B10" s="30" t="s">
        <v>38</v>
      </c>
      <c r="C10" s="5"/>
      <c r="D10" s="5"/>
      <c r="E10" s="5"/>
      <c r="F10" s="11" t="s">
        <v>18</v>
      </c>
      <c r="G10" s="11"/>
      <c r="H10" s="11" t="s">
        <v>16</v>
      </c>
      <c r="I10" s="11"/>
      <c r="J10" s="11" t="s">
        <v>17</v>
      </c>
      <c r="K10" s="11" t="s">
        <v>17</v>
      </c>
      <c r="M10" s="30"/>
      <c r="N10" s="5"/>
      <c r="O10" s="5"/>
      <c r="P10" s="5"/>
      <c r="Q10" s="11"/>
      <c r="R10" s="11"/>
      <c r="S10" s="11"/>
      <c r="T10" s="11"/>
      <c r="U10" s="11"/>
    </row>
    <row r="11" spans="2:37" x14ac:dyDescent="0.25">
      <c r="F11" s="11" t="s">
        <v>25</v>
      </c>
      <c r="G11" s="11"/>
      <c r="H11" s="11" t="s">
        <v>23</v>
      </c>
      <c r="I11" s="11"/>
      <c r="J11" s="11" t="s">
        <v>24</v>
      </c>
      <c r="K11" s="11" t="s">
        <v>24</v>
      </c>
      <c r="Q11" s="31"/>
      <c r="R11" s="31"/>
      <c r="S11" s="31"/>
      <c r="T11" s="31"/>
      <c r="U11" s="31"/>
    </row>
    <row r="12" spans="2:37" ht="5" customHeight="1" x14ac:dyDescent="0.25">
      <c r="Q12" s="13"/>
      <c r="R12" s="13"/>
      <c r="S12" s="13"/>
      <c r="T12" s="13"/>
      <c r="U12" s="13"/>
    </row>
    <row r="13" spans="2:37" x14ac:dyDescent="0.25">
      <c r="B13" s="2" t="s">
        <v>0</v>
      </c>
      <c r="F13" s="21"/>
      <c r="G13" s="3"/>
      <c r="H13" s="21"/>
      <c r="J13" s="22"/>
      <c r="K13" s="4">
        <v>115</v>
      </c>
      <c r="Q13" s="14"/>
      <c r="R13" s="17"/>
      <c r="S13" s="14"/>
      <c r="T13" s="13"/>
      <c r="U13" s="15"/>
    </row>
    <row r="14" spans="2:37" ht="5" customHeight="1" x14ac:dyDescent="0.25">
      <c r="F14" s="3"/>
      <c r="G14" s="3"/>
      <c r="H14" s="3"/>
      <c r="J14" s="16"/>
      <c r="K14" s="4"/>
      <c r="Q14" s="17"/>
      <c r="R14" s="17"/>
      <c r="S14" s="17"/>
      <c r="T14" s="13"/>
      <c r="U14" s="18"/>
    </row>
    <row r="15" spans="2:37" x14ac:dyDescent="0.25">
      <c r="B15" s="2" t="s">
        <v>1</v>
      </c>
      <c r="F15" s="21"/>
      <c r="G15" s="3"/>
      <c r="H15" s="21"/>
      <c r="J15" s="22"/>
      <c r="K15" s="4">
        <v>110</v>
      </c>
      <c r="Q15" s="14"/>
      <c r="R15" s="17"/>
      <c r="S15" s="14"/>
      <c r="T15" s="13"/>
      <c r="U15" s="15"/>
    </row>
    <row r="16" spans="2:37" ht="5" customHeight="1" x14ac:dyDescent="0.25">
      <c r="F16" s="3"/>
      <c r="G16" s="3"/>
      <c r="H16" s="3"/>
      <c r="J16" s="16"/>
      <c r="K16" s="4"/>
      <c r="Q16" s="17"/>
      <c r="R16" s="17"/>
      <c r="S16" s="17"/>
      <c r="T16" s="13"/>
      <c r="U16" s="18"/>
    </row>
    <row r="17" spans="2:21" x14ac:dyDescent="0.25">
      <c r="B17" s="2" t="s">
        <v>2</v>
      </c>
      <c r="F17" s="21"/>
      <c r="G17" s="3"/>
      <c r="H17" s="21"/>
      <c r="J17" s="22"/>
      <c r="K17" s="4">
        <v>100</v>
      </c>
      <c r="Q17" s="14"/>
      <c r="R17" s="17"/>
      <c r="S17" s="14"/>
      <c r="T17" s="13"/>
      <c r="U17" s="15"/>
    </row>
    <row r="18" spans="2:21" ht="5" customHeight="1" x14ac:dyDescent="0.25">
      <c r="F18" s="3"/>
      <c r="G18" s="3"/>
      <c r="H18" s="3"/>
      <c r="J18" s="16"/>
      <c r="K18" s="4"/>
      <c r="Q18" s="17"/>
      <c r="R18" s="17"/>
      <c r="S18" s="17"/>
      <c r="T18" s="13"/>
      <c r="U18" s="18"/>
    </row>
    <row r="19" spans="2:21" x14ac:dyDescent="0.25">
      <c r="B19" s="2" t="s">
        <v>3</v>
      </c>
      <c r="F19" s="21"/>
      <c r="G19" s="3"/>
      <c r="H19" s="21"/>
      <c r="J19" s="22"/>
      <c r="K19" s="4">
        <v>270</v>
      </c>
      <c r="Q19" s="14"/>
      <c r="R19" s="17"/>
      <c r="S19" s="14"/>
      <c r="T19" s="13"/>
      <c r="U19" s="15"/>
    </row>
    <row r="20" spans="2:21" ht="5" customHeight="1" x14ac:dyDescent="0.25">
      <c r="F20" s="3"/>
      <c r="G20" s="3"/>
      <c r="H20" s="3"/>
      <c r="J20" s="16"/>
      <c r="K20" s="4"/>
      <c r="Q20" s="17"/>
      <c r="R20" s="17"/>
      <c r="S20" s="17"/>
      <c r="T20" s="13"/>
      <c r="U20" s="18"/>
    </row>
    <row r="21" spans="2:21" x14ac:dyDescent="0.25">
      <c r="B21" s="2" t="s">
        <v>26</v>
      </c>
      <c r="F21" s="21"/>
      <c r="G21" s="3"/>
      <c r="H21" s="21"/>
      <c r="J21" s="22"/>
      <c r="K21" s="4">
        <v>110</v>
      </c>
      <c r="Q21" s="14"/>
      <c r="R21" s="17"/>
      <c r="S21" s="14"/>
      <c r="T21" s="13"/>
      <c r="U21" s="15"/>
    </row>
    <row r="22" spans="2:21" ht="5" customHeight="1" x14ac:dyDescent="0.25">
      <c r="F22" s="14"/>
      <c r="G22" s="3"/>
      <c r="H22" s="14"/>
      <c r="J22" s="15"/>
      <c r="K22" s="4"/>
      <c r="Q22" s="14"/>
      <c r="R22" s="17"/>
      <c r="S22" s="14"/>
      <c r="T22" s="13"/>
      <c r="U22" s="15"/>
    </row>
    <row r="23" spans="2:21" x14ac:dyDescent="0.25">
      <c r="B23" s="2" t="s">
        <v>27</v>
      </c>
      <c r="F23" s="21"/>
      <c r="G23" s="3"/>
      <c r="H23" s="21"/>
      <c r="J23" s="22"/>
      <c r="K23" s="4">
        <v>123</v>
      </c>
      <c r="Q23" s="14"/>
      <c r="R23" s="17"/>
      <c r="S23" s="14"/>
      <c r="T23" s="13"/>
      <c r="U23" s="15"/>
    </row>
    <row r="24" spans="2:21" ht="5" customHeight="1" x14ac:dyDescent="0.25">
      <c r="F24" s="3"/>
      <c r="G24" s="3"/>
      <c r="H24" s="3"/>
      <c r="J24" s="16"/>
      <c r="K24" s="4"/>
      <c r="Q24" s="17"/>
      <c r="R24" s="17"/>
      <c r="S24" s="17"/>
      <c r="T24" s="13"/>
      <c r="U24" s="18"/>
    </row>
    <row r="25" spans="2:21" x14ac:dyDescent="0.25">
      <c r="B25" s="2" t="s">
        <v>20</v>
      </c>
      <c r="F25" s="21"/>
      <c r="G25" s="3"/>
      <c r="H25" s="21"/>
      <c r="J25" s="22"/>
      <c r="K25" s="4">
        <v>100</v>
      </c>
      <c r="Q25" s="14"/>
      <c r="R25" s="17"/>
      <c r="S25" s="14"/>
      <c r="T25" s="13"/>
      <c r="U25" s="15"/>
    </row>
    <row r="26" spans="2:21" ht="5" customHeight="1" x14ac:dyDescent="0.25">
      <c r="F26" s="3"/>
      <c r="G26" s="3"/>
      <c r="H26" s="3"/>
      <c r="Q26" s="17"/>
      <c r="R26" s="17"/>
      <c r="S26" s="17"/>
      <c r="T26" s="13"/>
      <c r="U26" s="13"/>
    </row>
    <row r="27" spans="2:21" x14ac:dyDescent="0.25">
      <c r="B27" s="2" t="s">
        <v>19</v>
      </c>
      <c r="F27" s="21"/>
      <c r="G27" s="3"/>
      <c r="H27" s="19"/>
      <c r="I27" s="20"/>
      <c r="J27" s="20"/>
      <c r="Q27" s="14"/>
      <c r="R27" s="17"/>
      <c r="S27" s="19"/>
      <c r="T27" s="20"/>
      <c r="U27" s="20"/>
    </row>
    <row r="28" spans="2:21" ht="5" customHeight="1" x14ac:dyDescent="0.25">
      <c r="F28" s="3"/>
      <c r="G28" s="3"/>
      <c r="H28" s="19"/>
      <c r="I28" s="20"/>
      <c r="J28" s="20"/>
      <c r="Q28" s="17"/>
      <c r="R28" s="17"/>
      <c r="S28" s="19"/>
      <c r="T28" s="20"/>
      <c r="U28" s="20"/>
    </row>
    <row r="29" spans="2:21" x14ac:dyDescent="0.25">
      <c r="B29" s="2" t="s">
        <v>4</v>
      </c>
      <c r="F29" s="21"/>
      <c r="G29" s="3"/>
      <c r="H29" s="19"/>
      <c r="I29" s="20"/>
      <c r="J29" s="20"/>
      <c r="Q29" s="14"/>
      <c r="R29" s="17"/>
      <c r="S29" s="19"/>
      <c r="T29" s="20"/>
      <c r="U29" s="20"/>
    </row>
    <row r="30" spans="2:21" ht="5" customHeight="1" x14ac:dyDescent="0.25">
      <c r="F30" s="3"/>
      <c r="G30" s="3"/>
      <c r="H30" s="19"/>
      <c r="I30" s="20"/>
      <c r="J30" s="20"/>
      <c r="Q30" s="17"/>
      <c r="R30" s="17"/>
      <c r="S30" s="19"/>
      <c r="T30" s="20"/>
      <c r="U30" s="20"/>
    </row>
    <row r="31" spans="2:21" x14ac:dyDescent="0.25">
      <c r="B31" s="2" t="s">
        <v>22</v>
      </c>
      <c r="F31" s="21"/>
      <c r="G31" s="3"/>
      <c r="H31" s="19"/>
      <c r="I31" s="20"/>
      <c r="J31" s="20"/>
      <c r="Q31" s="14"/>
      <c r="R31" s="17"/>
      <c r="S31" s="19"/>
      <c r="T31" s="20"/>
      <c r="U31" s="20"/>
    </row>
    <row r="32" spans="2:21" ht="5" customHeight="1" x14ac:dyDescent="0.25">
      <c r="F32" s="3"/>
      <c r="G32" s="3"/>
      <c r="H32" s="19"/>
      <c r="I32" s="20"/>
      <c r="J32" s="20"/>
      <c r="Q32" s="17"/>
      <c r="R32" s="17"/>
      <c r="S32" s="19"/>
      <c r="T32" s="20"/>
      <c r="U32" s="20"/>
    </row>
    <row r="33" spans="2:21" x14ac:dyDescent="0.25">
      <c r="B33" s="2" t="s">
        <v>5</v>
      </c>
      <c r="F33" s="21"/>
      <c r="G33" s="3"/>
      <c r="H33" s="19"/>
      <c r="I33" s="20"/>
      <c r="J33" s="20"/>
      <c r="Q33" s="14"/>
      <c r="R33" s="17"/>
      <c r="S33" s="19"/>
      <c r="T33" s="20"/>
      <c r="U33" s="20"/>
    </row>
    <row r="34" spans="2:21" ht="5" customHeight="1" x14ac:dyDescent="0.25">
      <c r="F34" s="3"/>
      <c r="G34" s="3"/>
      <c r="H34" s="19"/>
      <c r="I34" s="20"/>
      <c r="J34" s="20"/>
      <c r="Q34" s="17"/>
      <c r="R34" s="17"/>
      <c r="S34" s="19"/>
      <c r="T34" s="20"/>
      <c r="U34" s="20"/>
    </row>
    <row r="35" spans="2:21" x14ac:dyDescent="0.25">
      <c r="B35" s="2" t="s">
        <v>6</v>
      </c>
      <c r="F35" s="21"/>
      <c r="G35" s="3"/>
      <c r="H35" s="19"/>
      <c r="I35" s="20"/>
      <c r="J35" s="20"/>
      <c r="Q35" s="14"/>
      <c r="R35" s="17"/>
      <c r="S35" s="19"/>
      <c r="T35" s="20"/>
      <c r="U35" s="20"/>
    </row>
    <row r="36" spans="2:21" ht="5" customHeight="1" x14ac:dyDescent="0.25">
      <c r="F36" s="3"/>
      <c r="G36" s="3"/>
      <c r="H36" s="19"/>
      <c r="I36" s="20"/>
      <c r="J36" s="20"/>
      <c r="Q36" s="17"/>
      <c r="R36" s="17"/>
      <c r="S36" s="19"/>
      <c r="T36" s="20"/>
      <c r="U36" s="20"/>
    </row>
    <row r="37" spans="2:21" x14ac:dyDescent="0.25">
      <c r="B37" s="2" t="s">
        <v>7</v>
      </c>
      <c r="F37" s="21"/>
      <c r="G37" s="3"/>
      <c r="H37" s="19"/>
      <c r="I37" s="20"/>
      <c r="J37" s="20"/>
      <c r="Q37" s="14"/>
      <c r="R37" s="17"/>
      <c r="S37" s="19"/>
      <c r="T37" s="20"/>
      <c r="U37" s="20"/>
    </row>
    <row r="38" spans="2:21" ht="5" customHeight="1" x14ac:dyDescent="0.25">
      <c r="F38" s="3"/>
      <c r="G38" s="3"/>
      <c r="H38" s="19"/>
      <c r="I38" s="20"/>
      <c r="J38" s="20"/>
      <c r="Q38" s="17"/>
      <c r="R38" s="17"/>
      <c r="S38" s="19"/>
      <c r="T38" s="20"/>
      <c r="U38" s="20"/>
    </row>
    <row r="39" spans="2:21" x14ac:dyDescent="0.25">
      <c r="B39" s="2" t="s">
        <v>54</v>
      </c>
      <c r="F39" s="21"/>
      <c r="G39" s="3"/>
      <c r="H39" s="19"/>
      <c r="I39" s="20"/>
      <c r="J39" s="20"/>
      <c r="Q39" s="14"/>
      <c r="R39" s="17"/>
      <c r="S39" s="19"/>
      <c r="T39" s="20"/>
      <c r="U39" s="20"/>
    </row>
    <row r="40" spans="2:21" ht="5" customHeight="1" x14ac:dyDescent="0.25">
      <c r="F40" s="3"/>
      <c r="G40" s="3"/>
      <c r="H40" s="19"/>
      <c r="I40" s="20"/>
      <c r="J40" s="20"/>
      <c r="Q40" s="17"/>
      <c r="R40" s="17"/>
      <c r="S40" s="19"/>
      <c r="T40" s="20"/>
      <c r="U40" s="20"/>
    </row>
    <row r="41" spans="2:21" x14ac:dyDescent="0.25">
      <c r="B41" s="2" t="s">
        <v>8</v>
      </c>
      <c r="F41" s="21"/>
      <c r="G41" s="3"/>
      <c r="H41" s="19"/>
      <c r="I41" s="20"/>
      <c r="J41" s="20"/>
      <c r="Q41" s="14"/>
      <c r="R41" s="17"/>
      <c r="S41" s="19"/>
      <c r="T41" s="20"/>
      <c r="U41" s="20"/>
    </row>
    <row r="42" spans="2:21" ht="5" customHeight="1" x14ac:dyDescent="0.25">
      <c r="F42" s="3"/>
      <c r="G42" s="3"/>
      <c r="H42" s="19"/>
      <c r="I42" s="20"/>
      <c r="J42" s="20"/>
      <c r="Q42" s="17"/>
      <c r="R42" s="17"/>
      <c r="S42" s="19"/>
      <c r="T42" s="20"/>
      <c r="U42" s="20"/>
    </row>
    <row r="43" spans="2:21" x14ac:dyDescent="0.25">
      <c r="B43" s="2" t="s">
        <v>9</v>
      </c>
      <c r="F43" s="21"/>
      <c r="G43" s="3"/>
      <c r="H43" s="19"/>
      <c r="I43" s="20"/>
      <c r="J43" s="20"/>
      <c r="Q43" s="14"/>
      <c r="R43" s="17"/>
      <c r="S43" s="19"/>
      <c r="T43" s="20"/>
      <c r="U43" s="20"/>
    </row>
    <row r="44" spans="2:21" ht="5" customHeight="1" x14ac:dyDescent="0.25">
      <c r="F44" s="3"/>
      <c r="G44" s="3"/>
      <c r="H44" s="19"/>
      <c r="I44" s="20"/>
      <c r="J44" s="20"/>
      <c r="Q44" s="17"/>
      <c r="R44" s="17"/>
      <c r="S44" s="19"/>
      <c r="T44" s="20"/>
      <c r="U44" s="20"/>
    </row>
    <row r="45" spans="2:21" x14ac:dyDescent="0.25">
      <c r="B45" s="2" t="s">
        <v>10</v>
      </c>
      <c r="F45" s="21"/>
      <c r="G45" s="3"/>
      <c r="H45" s="19"/>
      <c r="I45" s="20"/>
      <c r="J45" s="20"/>
      <c r="Q45" s="14"/>
      <c r="R45" s="17"/>
      <c r="S45" s="19"/>
      <c r="T45" s="20"/>
      <c r="U45" s="20"/>
    </row>
    <row r="46" spans="2:21" ht="5" customHeight="1" x14ac:dyDescent="0.25">
      <c r="F46" s="3"/>
      <c r="G46" s="3"/>
      <c r="H46" s="19"/>
      <c r="I46" s="20"/>
      <c r="J46" s="20"/>
      <c r="Q46" s="17"/>
      <c r="R46" s="17"/>
      <c r="S46" s="19"/>
      <c r="T46" s="20"/>
      <c r="U46" s="20"/>
    </row>
    <row r="47" spans="2:21" x14ac:dyDescent="0.25">
      <c r="B47" s="2" t="s">
        <v>11</v>
      </c>
      <c r="F47" s="21"/>
      <c r="G47" s="3"/>
      <c r="H47" s="19"/>
      <c r="I47" s="20"/>
      <c r="J47" s="20"/>
      <c r="Q47" s="14"/>
      <c r="R47" s="17"/>
      <c r="S47" s="19"/>
      <c r="T47" s="20"/>
      <c r="U47" s="20"/>
    </row>
    <row r="48" spans="2:21" ht="5" customHeight="1" x14ac:dyDescent="0.25">
      <c r="F48" s="3"/>
      <c r="G48" s="3"/>
      <c r="H48" s="19"/>
      <c r="I48" s="20"/>
      <c r="J48" s="20"/>
      <c r="Q48" s="17"/>
      <c r="R48" s="17"/>
      <c r="S48" s="19"/>
      <c r="T48" s="20"/>
      <c r="U48" s="20"/>
    </row>
    <row r="49" spans="2:37" x14ac:dyDescent="0.25">
      <c r="B49" s="2" t="s">
        <v>12</v>
      </c>
      <c r="F49" s="21"/>
      <c r="G49" s="3"/>
      <c r="H49" s="19"/>
      <c r="I49" s="20"/>
      <c r="J49" s="20"/>
      <c r="Q49" s="14"/>
      <c r="R49" s="17"/>
      <c r="S49" s="19"/>
      <c r="T49" s="20"/>
      <c r="U49" s="20"/>
    </row>
    <row r="50" spans="2:37" ht="5" customHeight="1" x14ac:dyDescent="0.25">
      <c r="F50" s="3"/>
      <c r="G50" s="3"/>
      <c r="H50" s="19"/>
      <c r="I50" s="20"/>
      <c r="J50" s="20"/>
      <c r="Q50" s="17"/>
      <c r="R50" s="17"/>
      <c r="S50" s="19"/>
      <c r="T50" s="20"/>
      <c r="U50" s="20"/>
    </row>
    <row r="51" spans="2:37" x14ac:dyDescent="0.25">
      <c r="B51" s="2" t="s">
        <v>13</v>
      </c>
      <c r="F51" s="21"/>
      <c r="G51" s="3"/>
      <c r="H51" s="19"/>
      <c r="I51" s="20"/>
      <c r="J51" s="20"/>
      <c r="Q51" s="14"/>
      <c r="R51" s="17"/>
      <c r="S51" s="19"/>
      <c r="T51" s="20"/>
      <c r="U51" s="20"/>
    </row>
    <row r="52" spans="2:37" ht="5" customHeight="1" x14ac:dyDescent="0.25">
      <c r="F52" s="3"/>
      <c r="G52" s="3"/>
      <c r="H52" s="19"/>
      <c r="I52" s="20"/>
      <c r="J52" s="20"/>
      <c r="Q52" s="17"/>
      <c r="R52" s="17"/>
      <c r="S52" s="19"/>
      <c r="T52" s="20"/>
      <c r="U52" s="20"/>
    </row>
    <row r="53" spans="2:37" x14ac:dyDescent="0.25">
      <c r="B53" s="2" t="s">
        <v>31</v>
      </c>
      <c r="F53" s="21"/>
      <c r="G53" s="3"/>
      <c r="H53" s="19"/>
      <c r="I53" s="20"/>
      <c r="J53" s="20"/>
      <c r="Q53" s="14"/>
      <c r="R53" s="17"/>
      <c r="S53" s="19"/>
      <c r="T53" s="20"/>
      <c r="U53" s="20"/>
    </row>
    <row r="54" spans="2:37" ht="5" customHeight="1" x14ac:dyDescent="0.25">
      <c r="F54" s="3"/>
      <c r="G54" s="3"/>
      <c r="H54" s="19"/>
      <c r="I54" s="20"/>
      <c r="J54" s="20"/>
      <c r="Q54" s="17"/>
      <c r="R54" s="17"/>
      <c r="S54" s="19"/>
      <c r="T54" s="20"/>
      <c r="U54" s="20"/>
    </row>
    <row r="55" spans="2:37" x14ac:dyDescent="0.25">
      <c r="B55" s="2" t="s">
        <v>32</v>
      </c>
      <c r="F55" s="21"/>
      <c r="G55" s="3"/>
      <c r="H55" s="19"/>
      <c r="I55" s="20"/>
      <c r="J55" s="20"/>
      <c r="Q55" s="14"/>
      <c r="R55" s="17"/>
      <c r="S55" s="19"/>
      <c r="T55" s="20"/>
      <c r="U55" s="20"/>
    </row>
    <row r="56" spans="2:37" ht="5" customHeight="1" x14ac:dyDescent="0.25">
      <c r="F56" s="3"/>
      <c r="G56" s="3"/>
      <c r="H56" s="19"/>
      <c r="I56" s="20"/>
      <c r="J56" s="20"/>
      <c r="Q56" s="17"/>
      <c r="R56" s="17"/>
      <c r="S56" s="19"/>
      <c r="T56" s="20"/>
      <c r="U56" s="20"/>
    </row>
    <row r="57" spans="2:37" x14ac:dyDescent="0.25">
      <c r="B57" s="2" t="s">
        <v>28</v>
      </c>
      <c r="F57" s="21"/>
      <c r="G57" s="3"/>
      <c r="H57" s="19"/>
      <c r="I57" s="20"/>
      <c r="J57" s="20"/>
      <c r="Q57" s="14"/>
      <c r="R57" s="17"/>
      <c r="S57" s="19"/>
      <c r="T57" s="20"/>
      <c r="U57" s="20"/>
    </row>
    <row r="58" spans="2:37" ht="5" customHeight="1" x14ac:dyDescent="0.25">
      <c r="F58" s="3"/>
      <c r="G58" s="3"/>
      <c r="H58" s="19"/>
      <c r="I58" s="20"/>
      <c r="J58" s="20"/>
      <c r="Q58" s="17"/>
      <c r="R58" s="17"/>
      <c r="S58" s="19"/>
      <c r="T58" s="20"/>
      <c r="U58" s="20"/>
    </row>
    <row r="59" spans="2:37" x14ac:dyDescent="0.25">
      <c r="B59" s="2" t="s">
        <v>21</v>
      </c>
      <c r="F59" s="21"/>
      <c r="G59" s="3"/>
      <c r="H59" s="19"/>
      <c r="I59" s="20"/>
      <c r="J59" s="20"/>
      <c r="Q59" s="14"/>
      <c r="R59" s="17"/>
      <c r="S59" s="19"/>
      <c r="T59" s="20"/>
      <c r="U59" s="20"/>
    </row>
    <row r="60" spans="2:37" ht="5" customHeight="1" x14ac:dyDescent="0.25">
      <c r="F60" s="3"/>
      <c r="G60" s="3"/>
      <c r="H60" s="19"/>
      <c r="I60" s="20"/>
      <c r="J60" s="20"/>
      <c r="Q60" s="17"/>
      <c r="R60" s="17"/>
      <c r="S60" s="19"/>
      <c r="T60" s="20"/>
      <c r="U60" s="20"/>
    </row>
    <row r="61" spans="2:37" x14ac:dyDescent="0.25">
      <c r="B61" s="2" t="s">
        <v>14</v>
      </c>
      <c r="F61" s="21"/>
      <c r="G61" s="3"/>
      <c r="H61" s="3"/>
      <c r="Q61" s="14"/>
      <c r="R61" s="17"/>
      <c r="S61" s="17"/>
      <c r="T61" s="13"/>
      <c r="U61" s="13"/>
    </row>
    <row r="62" spans="2:37" ht="5" customHeight="1" x14ac:dyDescent="0.25">
      <c r="F62" s="3"/>
      <c r="G62" s="3"/>
      <c r="H62" s="3"/>
      <c r="Q62" s="17"/>
      <c r="R62" s="17"/>
      <c r="S62" s="17"/>
      <c r="T62" s="13"/>
      <c r="U62" s="13"/>
    </row>
    <row r="63" spans="2:37" x14ac:dyDescent="0.25">
      <c r="B63" s="2" t="s">
        <v>49</v>
      </c>
      <c r="F63" s="21"/>
      <c r="G63" s="3"/>
      <c r="H63" s="3"/>
      <c r="Q63" s="14"/>
      <c r="R63" s="17"/>
      <c r="S63" s="17"/>
      <c r="T63" s="13"/>
      <c r="U63" s="13"/>
    </row>
    <row r="64" spans="2:37" ht="12" thickBot="1" x14ac:dyDescent="0.3">
      <c r="B64" s="7"/>
      <c r="C64" s="7"/>
      <c r="D64" s="7"/>
      <c r="E64" s="7"/>
      <c r="F64" s="32"/>
      <c r="G64" s="33"/>
      <c r="H64" s="33"/>
      <c r="I64" s="7"/>
      <c r="J64" s="7"/>
      <c r="K64" s="7"/>
      <c r="L64" s="13"/>
      <c r="M64" s="7"/>
      <c r="N64" s="7"/>
      <c r="O64" s="7"/>
      <c r="P64" s="7"/>
      <c r="Q64" s="32"/>
      <c r="R64" s="33"/>
      <c r="S64" s="33"/>
      <c r="T64" s="7"/>
      <c r="U64" s="7"/>
      <c r="V64" s="7"/>
      <c r="W64" s="7"/>
      <c r="X64" s="7"/>
      <c r="Z64" s="7"/>
      <c r="AA64" s="7"/>
      <c r="AB64" s="7"/>
      <c r="AC64" s="7"/>
      <c r="AD64" s="7"/>
      <c r="AE64" s="7"/>
      <c r="AF64" s="7"/>
      <c r="AG64" s="7"/>
      <c r="AH64" s="7"/>
      <c r="AI64" s="7"/>
      <c r="AJ64" s="7"/>
      <c r="AK64" s="7"/>
    </row>
    <row r="65" spans="2:21" x14ac:dyDescent="0.25">
      <c r="F65" s="14"/>
      <c r="G65" s="3"/>
      <c r="H65" s="3"/>
      <c r="Q65" s="14"/>
      <c r="R65" s="17"/>
      <c r="S65" s="17"/>
      <c r="T65" s="13"/>
      <c r="U65" s="13"/>
    </row>
    <row r="66" spans="2:21" ht="14" x14ac:dyDescent="0.3">
      <c r="B66" s="30" t="s">
        <v>78</v>
      </c>
      <c r="F66" s="14"/>
      <c r="G66" s="3"/>
      <c r="H66" s="3"/>
      <c r="Q66" s="14"/>
      <c r="R66" s="17"/>
      <c r="S66" s="17"/>
      <c r="T66" s="13"/>
      <c r="U66" s="13"/>
    </row>
    <row r="67" spans="2:21" ht="5" customHeight="1" x14ac:dyDescent="0.25">
      <c r="F67" s="3"/>
      <c r="G67" s="3"/>
      <c r="H67" s="3"/>
      <c r="Q67" s="17"/>
      <c r="R67" s="17"/>
      <c r="S67" s="17"/>
      <c r="T67" s="13"/>
      <c r="U67" s="13"/>
    </row>
    <row r="68" spans="2:21" x14ac:dyDescent="0.25">
      <c r="B68" s="2" t="s">
        <v>29</v>
      </c>
      <c r="F68" s="3">
        <f>F13+F15+F17+F19+F21+F23+F25+F27+F29+F31+F33+F35+F37+F39+F41+F43+F45+F47+F49+F51+F53+F55+F57+F59+F61</f>
        <v>0</v>
      </c>
      <c r="G68" s="3"/>
      <c r="H68" s="3"/>
      <c r="Q68" s="17"/>
      <c r="R68" s="17"/>
      <c r="S68" s="17"/>
      <c r="T68" s="13"/>
      <c r="U68" s="13"/>
    </row>
    <row r="69" spans="2:21" ht="5" customHeight="1" x14ac:dyDescent="0.25">
      <c r="F69" s="3"/>
      <c r="G69" s="3"/>
      <c r="H69" s="3"/>
      <c r="Q69" s="17"/>
      <c r="R69" s="17"/>
      <c r="S69" s="17"/>
      <c r="T69" s="13"/>
      <c r="U69" s="13"/>
    </row>
    <row r="70" spans="2:21" x14ac:dyDescent="0.25">
      <c r="B70" s="2" t="s">
        <v>30</v>
      </c>
      <c r="F70" s="3">
        <f>F13+F15+F17+F19+F21+F23+F25+F27+F29+F31+F33+F35+F37+F39+F41+F43+F45+F47+F49+F51+F53+F55+F57+F59</f>
        <v>0</v>
      </c>
      <c r="G70" s="3"/>
      <c r="H70" s="3"/>
      <c r="Q70" s="3"/>
      <c r="R70" s="3"/>
      <c r="S70" s="3"/>
    </row>
    <row r="71" spans="2:21" ht="5" customHeight="1" x14ac:dyDescent="0.25">
      <c r="F71" s="3"/>
      <c r="G71" s="3"/>
      <c r="H71" s="3"/>
      <c r="Q71" s="3"/>
      <c r="R71" s="3"/>
      <c r="S71" s="3"/>
    </row>
    <row r="72" spans="2:21" x14ac:dyDescent="0.25">
      <c r="B72" s="2" t="s">
        <v>33</v>
      </c>
      <c r="F72" s="3">
        <f>F13+F15+F17+F19+F33+F35+F45+F47+F49+F51+F55+F57+F59</f>
        <v>0</v>
      </c>
      <c r="G72" s="3"/>
      <c r="H72" s="3"/>
      <c r="Q72" s="3"/>
      <c r="R72" s="3"/>
      <c r="S72" s="3"/>
    </row>
    <row r="73" spans="2:21" ht="5" customHeight="1" x14ac:dyDescent="0.25">
      <c r="F73" s="3"/>
      <c r="G73" s="3"/>
      <c r="H73" s="3"/>
      <c r="Q73" s="3"/>
      <c r="R73" s="3"/>
      <c r="S73" s="3"/>
    </row>
    <row r="74" spans="2:21" x14ac:dyDescent="0.25">
      <c r="B74" s="2" t="s">
        <v>34</v>
      </c>
      <c r="F74" s="3">
        <f>F13+F15+F17+F19+F45+F55</f>
        <v>0</v>
      </c>
      <c r="G74" s="3"/>
      <c r="H74" s="3"/>
      <c r="Q74" s="3"/>
      <c r="R74" s="3"/>
      <c r="S74" s="3"/>
    </row>
    <row r="75" spans="2:21" ht="5" customHeight="1" x14ac:dyDescent="0.25">
      <c r="F75" s="3"/>
      <c r="G75" s="3"/>
      <c r="H75" s="3"/>
      <c r="Q75" s="3"/>
      <c r="R75" s="3"/>
      <c r="S75" s="3"/>
    </row>
    <row r="76" spans="2:21" x14ac:dyDescent="0.25">
      <c r="B76" s="2" t="s">
        <v>36</v>
      </c>
      <c r="F76" s="3">
        <f>F43+F45+F47+F49+F51+F57</f>
        <v>0</v>
      </c>
      <c r="G76" s="3"/>
      <c r="H76" s="3"/>
      <c r="Q76" s="3"/>
      <c r="R76" s="3"/>
      <c r="S76" s="3"/>
    </row>
    <row r="77" spans="2:21" ht="5" customHeight="1" x14ac:dyDescent="0.25">
      <c r="F77" s="3"/>
      <c r="G77" s="3"/>
      <c r="H77" s="3"/>
      <c r="Q77" s="3"/>
      <c r="R77" s="3"/>
      <c r="S77" s="3"/>
    </row>
    <row r="78" spans="2:21" x14ac:dyDescent="0.25">
      <c r="B78" s="2" t="s">
        <v>35</v>
      </c>
      <c r="F78" s="3">
        <f>F33+F35+F47+F55+F63</f>
        <v>0</v>
      </c>
      <c r="G78" s="3"/>
      <c r="H78" s="3"/>
      <c r="Q78" s="3"/>
      <c r="R78" s="3"/>
      <c r="S78" s="3"/>
    </row>
    <row r="79" spans="2:21" ht="5" customHeight="1" x14ac:dyDescent="0.25">
      <c r="F79" s="3"/>
      <c r="G79" s="3"/>
      <c r="H79" s="3"/>
      <c r="Q79" s="3"/>
      <c r="R79" s="3"/>
      <c r="S79" s="3"/>
    </row>
    <row r="80" spans="2:21" x14ac:dyDescent="0.25">
      <c r="B80" s="2" t="s">
        <v>53</v>
      </c>
      <c r="F80" s="3">
        <f>IF($F$68=0,0,(F33+F35+F39+F43+F45+F47+F49+F49+F51+F57+F59+F61+F63)*100/$F$68)</f>
        <v>0</v>
      </c>
      <c r="G80" s="3"/>
      <c r="H80" s="3"/>
      <c r="Q80" s="3"/>
      <c r="R80" s="3"/>
      <c r="S80" s="3"/>
    </row>
    <row r="81" spans="2:37" ht="5" customHeight="1" x14ac:dyDescent="0.25">
      <c r="F81" s="3"/>
      <c r="G81" s="3"/>
      <c r="H81" s="3"/>
      <c r="Q81" s="3"/>
      <c r="R81" s="3"/>
      <c r="S81" s="3"/>
    </row>
    <row r="82" spans="2:37" x14ac:dyDescent="0.25">
      <c r="B82" s="2" t="s">
        <v>39</v>
      </c>
      <c r="F82" s="3">
        <f>F13+F15+F17+F19+F21+F23+F25+F27+F29+F31+F41+F43+F45+F53+F55</f>
        <v>0</v>
      </c>
      <c r="G82" s="3"/>
      <c r="H82" s="3"/>
      <c r="Q82" s="3"/>
      <c r="R82" s="3"/>
      <c r="S82" s="3"/>
    </row>
    <row r="83" spans="2:37" ht="5" customHeight="1" x14ac:dyDescent="0.25">
      <c r="F83" s="3"/>
      <c r="G83" s="3"/>
      <c r="H83" s="3"/>
      <c r="Q83" s="3"/>
      <c r="R83" s="3"/>
      <c r="S83" s="3"/>
    </row>
    <row r="84" spans="2:37" x14ac:dyDescent="0.25">
      <c r="B84" s="2" t="s">
        <v>40</v>
      </c>
      <c r="F84" s="3">
        <f>F70-F74-F76-F78-F59-F39</f>
        <v>0</v>
      </c>
      <c r="G84" s="3"/>
      <c r="H84" s="3"/>
      <c r="Q84" s="3"/>
      <c r="R84" s="3"/>
      <c r="S84" s="3"/>
    </row>
    <row r="85" spans="2:37" ht="5" customHeight="1" x14ac:dyDescent="0.25"/>
    <row r="86" spans="2:37" x14ac:dyDescent="0.25">
      <c r="B86" s="2" t="s">
        <v>37</v>
      </c>
      <c r="F86" s="21"/>
      <c r="G86" s="3"/>
      <c r="H86" s="3"/>
      <c r="Q86" s="14"/>
      <c r="R86" s="3"/>
      <c r="S86" s="3"/>
    </row>
    <row r="87" spans="2:37" ht="5" customHeight="1" x14ac:dyDescent="0.25">
      <c r="F87" s="14"/>
      <c r="G87" s="3"/>
      <c r="H87" s="3"/>
      <c r="Q87" s="14"/>
      <c r="R87" s="3"/>
      <c r="S87" s="3"/>
    </row>
    <row r="88" spans="2:37" ht="11.5" customHeight="1" x14ac:dyDescent="0.25">
      <c r="B88" s="2" t="s">
        <v>322</v>
      </c>
      <c r="F88" s="21"/>
      <c r="G88" s="3"/>
      <c r="H88" s="3"/>
      <c r="Q88" s="14"/>
      <c r="R88" s="3"/>
      <c r="S88" s="3"/>
    </row>
    <row r="89" spans="2:37" ht="5" customHeight="1" x14ac:dyDescent="0.25">
      <c r="F89" s="14"/>
      <c r="G89" s="3"/>
      <c r="H89" s="3"/>
      <c r="Q89" s="14"/>
      <c r="R89" s="3"/>
      <c r="S89" s="3"/>
    </row>
    <row r="90" spans="2:37" x14ac:dyDescent="0.25">
      <c r="B90" s="2" t="s">
        <v>321</v>
      </c>
      <c r="C90" s="8">
        <f>IF(F90&lt;&gt;"",F90,(F70-F29-F59)*('9 Kvotereduktion'!$D$54-3))</f>
        <v>0</v>
      </c>
      <c r="F90" s="21"/>
      <c r="G90" s="3"/>
      <c r="H90" s="3"/>
      <c r="Q90" s="14"/>
      <c r="R90" s="3"/>
      <c r="S90" s="3"/>
    </row>
    <row r="91" spans="2:37" ht="12" thickBot="1" x14ac:dyDescent="0.3">
      <c r="B91" s="7"/>
      <c r="C91" s="7"/>
      <c r="D91" s="7"/>
      <c r="E91" s="7"/>
      <c r="F91" s="32"/>
      <c r="G91" s="33"/>
      <c r="H91" s="33"/>
      <c r="I91" s="7"/>
      <c r="J91" s="7"/>
      <c r="K91" s="7"/>
      <c r="L91" s="13"/>
      <c r="M91" s="7"/>
      <c r="N91" s="7"/>
      <c r="O91" s="7"/>
      <c r="P91" s="7"/>
      <c r="Q91" s="32"/>
      <c r="R91" s="33"/>
      <c r="S91" s="33"/>
      <c r="T91" s="7"/>
      <c r="U91" s="7"/>
      <c r="V91" s="7"/>
      <c r="W91" s="7"/>
      <c r="X91" s="7"/>
      <c r="Z91" s="7"/>
      <c r="AA91" s="7"/>
      <c r="AB91" s="7"/>
      <c r="AC91" s="7"/>
      <c r="AD91" s="7"/>
      <c r="AE91" s="7"/>
      <c r="AF91" s="7"/>
      <c r="AG91" s="7"/>
      <c r="AH91" s="7"/>
      <c r="AI91" s="7"/>
      <c r="AJ91" s="7"/>
      <c r="AK91" s="7"/>
    </row>
    <row r="92" spans="2:37" x14ac:dyDescent="0.25">
      <c r="B92" s="13"/>
      <c r="C92" s="13"/>
      <c r="D92" s="13"/>
      <c r="E92" s="13"/>
      <c r="F92" s="14"/>
      <c r="G92" s="17"/>
      <c r="H92" s="17"/>
      <c r="I92" s="13"/>
      <c r="J92" s="13"/>
      <c r="K92" s="13"/>
      <c r="L92" s="13"/>
      <c r="M92" s="13"/>
      <c r="N92" s="13"/>
      <c r="O92" s="13"/>
      <c r="P92" s="13"/>
      <c r="Q92" s="14"/>
      <c r="R92" s="17"/>
      <c r="S92" s="17"/>
      <c r="T92" s="13"/>
      <c r="U92" s="13"/>
      <c r="V92" s="13"/>
      <c r="W92" s="13"/>
    </row>
    <row r="93" spans="2:37" ht="14" x14ac:dyDescent="0.3">
      <c r="B93" s="34" t="s">
        <v>72</v>
      </c>
      <c r="C93" s="13"/>
      <c r="D93" s="13"/>
      <c r="E93" s="13"/>
      <c r="F93" s="35" t="s">
        <v>15</v>
      </c>
      <c r="G93" s="17"/>
      <c r="H93" s="17"/>
      <c r="I93" s="13"/>
      <c r="J93" s="13"/>
      <c r="K93" s="13"/>
      <c r="L93" s="13"/>
      <c r="M93" s="13"/>
      <c r="N93" s="13"/>
      <c r="O93" s="13"/>
      <c r="P93" s="13"/>
      <c r="Q93" s="14"/>
      <c r="R93" s="17"/>
      <c r="S93" s="17"/>
      <c r="T93" s="13"/>
      <c r="U93" s="13"/>
      <c r="V93" s="13"/>
      <c r="W93" s="13"/>
    </row>
    <row r="94" spans="2:37" ht="5" customHeight="1" x14ac:dyDescent="0.25">
      <c r="B94" s="13"/>
      <c r="C94" s="13"/>
      <c r="D94" s="13"/>
      <c r="E94" s="13"/>
      <c r="F94" s="14"/>
      <c r="G94" s="17"/>
      <c r="H94" s="17"/>
      <c r="I94" s="13"/>
      <c r="J94" s="13"/>
      <c r="K94" s="13"/>
      <c r="L94" s="13"/>
      <c r="M94" s="13"/>
      <c r="N94" s="13"/>
      <c r="O94" s="13"/>
      <c r="P94" s="13"/>
      <c r="Q94" s="14"/>
      <c r="R94" s="17"/>
      <c r="S94" s="17"/>
      <c r="T94" s="13"/>
      <c r="U94" s="13"/>
      <c r="V94" s="13"/>
      <c r="W94" s="13"/>
    </row>
    <row r="95" spans="2:37" x14ac:dyDescent="0.25">
      <c r="B95" s="13" t="s">
        <v>68</v>
      </c>
      <c r="C95" s="13"/>
      <c r="D95" s="13"/>
      <c r="E95" s="13"/>
      <c r="F95" s="21"/>
      <c r="G95" s="17"/>
      <c r="H95" s="17"/>
      <c r="I95" s="13"/>
      <c r="J95" s="13"/>
      <c r="K95" s="13"/>
      <c r="L95" s="13"/>
      <c r="M95" s="13"/>
      <c r="N95" s="13"/>
      <c r="O95" s="13"/>
      <c r="P95" s="13"/>
      <c r="Q95" s="14"/>
      <c r="R95" s="17"/>
      <c r="S95" s="17"/>
      <c r="T95" s="13"/>
      <c r="U95" s="13"/>
      <c r="V95" s="13"/>
      <c r="W95" s="13"/>
    </row>
    <row r="96" spans="2:37" ht="5" customHeight="1" x14ac:dyDescent="0.25">
      <c r="B96" s="13"/>
      <c r="C96" s="13"/>
      <c r="D96" s="13"/>
      <c r="E96" s="13"/>
      <c r="F96" s="14"/>
      <c r="G96" s="17"/>
      <c r="H96" s="17"/>
      <c r="I96" s="13"/>
      <c r="J96" s="13"/>
      <c r="K96" s="13"/>
      <c r="L96" s="13"/>
      <c r="M96" s="13"/>
      <c r="N96" s="13"/>
      <c r="O96" s="13"/>
      <c r="P96" s="13"/>
      <c r="Q96" s="14"/>
      <c r="R96" s="17"/>
      <c r="S96" s="17"/>
      <c r="T96" s="13"/>
      <c r="U96" s="13"/>
      <c r="V96" s="13"/>
      <c r="W96" s="13"/>
    </row>
    <row r="97" spans="2:37" x14ac:dyDescent="0.25">
      <c r="B97" s="13" t="s">
        <v>69</v>
      </c>
      <c r="C97" s="13"/>
      <c r="D97" s="13"/>
      <c r="E97" s="13"/>
      <c r="F97" s="21"/>
      <c r="G97" s="17"/>
      <c r="H97" s="17"/>
      <c r="I97" s="13"/>
      <c r="J97" s="13"/>
      <c r="K97" s="13"/>
      <c r="L97" s="13"/>
      <c r="M97" s="13"/>
      <c r="N97" s="13"/>
      <c r="O97" s="13"/>
      <c r="P97" s="13"/>
      <c r="Q97" s="14"/>
      <c r="R97" s="17"/>
      <c r="S97" s="17"/>
      <c r="T97" s="13"/>
      <c r="U97" s="13"/>
      <c r="V97" s="13"/>
      <c r="W97" s="13"/>
    </row>
    <row r="98" spans="2:37" ht="5" customHeight="1" x14ac:dyDescent="0.25">
      <c r="B98" s="13"/>
      <c r="C98" s="13"/>
      <c r="D98" s="13"/>
      <c r="E98" s="13"/>
      <c r="F98" s="14"/>
      <c r="G98" s="17"/>
      <c r="H98" s="17"/>
      <c r="I98" s="13"/>
      <c r="J98" s="13"/>
      <c r="K98" s="13"/>
      <c r="L98" s="13"/>
      <c r="M98" s="13"/>
      <c r="N98" s="13"/>
      <c r="O98" s="13"/>
      <c r="P98" s="13"/>
      <c r="Q98" s="14"/>
      <c r="R98" s="17"/>
      <c r="S98" s="17"/>
      <c r="T98" s="13"/>
      <c r="U98" s="13"/>
      <c r="V98" s="13"/>
      <c r="W98" s="13"/>
    </row>
    <row r="99" spans="2:37" x14ac:dyDescent="0.25">
      <c r="B99" s="13" t="s">
        <v>70</v>
      </c>
      <c r="C99" s="13"/>
      <c r="D99" s="13"/>
      <c r="E99" s="13"/>
      <c r="F99" s="21"/>
      <c r="G99" s="17"/>
      <c r="H99" s="17"/>
      <c r="I99" s="13"/>
      <c r="J99" s="13"/>
      <c r="K99" s="13"/>
      <c r="L99" s="13"/>
      <c r="M99" s="13"/>
      <c r="N99" s="13"/>
      <c r="O99" s="13"/>
      <c r="P99" s="13"/>
      <c r="Q99" s="14"/>
      <c r="R99" s="17"/>
      <c r="S99" s="17"/>
      <c r="T99" s="13"/>
      <c r="U99" s="13"/>
      <c r="V99" s="13"/>
      <c r="W99" s="13"/>
    </row>
    <row r="100" spans="2:37" ht="5" customHeight="1" x14ac:dyDescent="0.25">
      <c r="B100" s="13"/>
      <c r="C100" s="13"/>
      <c r="D100" s="13"/>
      <c r="E100" s="13"/>
      <c r="F100" s="14"/>
      <c r="G100" s="17"/>
      <c r="H100" s="17"/>
      <c r="I100" s="13"/>
      <c r="J100" s="13"/>
      <c r="K100" s="13"/>
      <c r="L100" s="13"/>
      <c r="M100" s="13"/>
      <c r="N100" s="13"/>
      <c r="O100" s="13"/>
      <c r="P100" s="13"/>
      <c r="Q100" s="14"/>
      <c r="R100" s="17"/>
      <c r="S100" s="17"/>
      <c r="T100" s="13"/>
      <c r="U100" s="13"/>
      <c r="V100" s="13"/>
      <c r="W100" s="13"/>
    </row>
    <row r="101" spans="2:37" x14ac:dyDescent="0.25">
      <c r="B101" s="13" t="s">
        <v>71</v>
      </c>
      <c r="C101" s="13"/>
      <c r="D101" s="13"/>
      <c r="E101" s="13"/>
      <c r="F101" s="21"/>
      <c r="G101" s="17"/>
      <c r="H101" s="36" t="str">
        <f>IF(F70&gt;(F95+F97+F99+F101+0.1),"Der mangler "&amp;ROUND((F70-F95-F97-F99-F101),1)&amp;" ha.",IF(F70&lt;(F95+F97+F99+F101-0.1),"Der er angivet "&amp;ROUND((-F70+F95+F97+F99+F101),1)&amp;" ha for meget.",""))</f>
        <v/>
      </c>
      <c r="I101" s="13"/>
      <c r="J101" s="13"/>
      <c r="K101" s="13"/>
      <c r="L101" s="13"/>
      <c r="M101" s="13"/>
      <c r="N101" s="13"/>
      <c r="O101" s="13"/>
      <c r="P101" s="13"/>
      <c r="Q101" s="14"/>
      <c r="R101" s="17"/>
      <c r="S101" s="17"/>
      <c r="T101" s="13"/>
      <c r="U101" s="13"/>
      <c r="V101" s="13"/>
      <c r="W101" s="13"/>
    </row>
    <row r="102" spans="2:37" ht="12" thickBot="1" x14ac:dyDescent="0.3">
      <c r="B102" s="7"/>
      <c r="C102" s="7"/>
      <c r="D102" s="7"/>
      <c r="E102" s="7"/>
      <c r="F102" s="32"/>
      <c r="G102" s="33"/>
      <c r="H102" s="33"/>
      <c r="I102" s="7"/>
      <c r="J102" s="7"/>
      <c r="K102" s="7"/>
      <c r="L102" s="13"/>
      <c r="M102" s="7"/>
      <c r="N102" s="7"/>
      <c r="O102" s="7"/>
      <c r="P102" s="7"/>
      <c r="Q102" s="32"/>
      <c r="R102" s="33"/>
      <c r="S102" s="33"/>
      <c r="T102" s="7"/>
      <c r="U102" s="7"/>
      <c r="V102" s="7"/>
      <c r="W102" s="7"/>
      <c r="X102" s="7"/>
      <c r="Z102" s="7"/>
      <c r="AA102" s="7"/>
      <c r="AB102" s="7"/>
      <c r="AC102" s="7"/>
      <c r="AD102" s="7"/>
      <c r="AE102" s="7"/>
      <c r="AF102" s="7"/>
      <c r="AG102" s="7"/>
      <c r="AH102" s="7"/>
      <c r="AI102" s="7"/>
      <c r="AJ102" s="7"/>
      <c r="AK102" s="7"/>
    </row>
    <row r="104" spans="2:37" ht="14" x14ac:dyDescent="0.3">
      <c r="B104" s="30" t="s">
        <v>41</v>
      </c>
      <c r="C104" s="5"/>
      <c r="D104" s="5"/>
      <c r="E104" s="5"/>
      <c r="M104" s="34"/>
      <c r="N104" s="12"/>
      <c r="O104" s="12"/>
      <c r="P104" s="12"/>
      <c r="Q104" s="13"/>
    </row>
    <row r="105" spans="2:37" ht="5" customHeight="1" x14ac:dyDescent="0.25">
      <c r="M105" s="13"/>
      <c r="N105" s="13"/>
      <c r="O105" s="13"/>
      <c r="P105" s="13"/>
      <c r="Q105" s="13"/>
    </row>
    <row r="106" spans="2:37" x14ac:dyDescent="0.25">
      <c r="B106" s="2" t="s">
        <v>46</v>
      </c>
      <c r="F106" s="37">
        <f>F70*0.05</f>
        <v>0</v>
      </c>
      <c r="G106" s="2" t="s">
        <v>25</v>
      </c>
      <c r="M106" s="13"/>
      <c r="N106" s="13"/>
      <c r="O106" s="13"/>
      <c r="P106" s="13"/>
      <c r="Q106" s="38"/>
    </row>
    <row r="107" spans="2:37" ht="5" customHeight="1" x14ac:dyDescent="0.25">
      <c r="M107" s="13"/>
      <c r="N107" s="13"/>
      <c r="O107" s="13"/>
      <c r="P107" s="13"/>
      <c r="Q107" s="13"/>
    </row>
    <row r="108" spans="2:37" x14ac:dyDescent="0.25">
      <c r="B108" s="2" t="s">
        <v>48</v>
      </c>
      <c r="C108" s="2">
        <f>IF(OR(F86="",F86&lt;80),10.7,14.7)</f>
        <v>10.7</v>
      </c>
      <c r="D108" s="2" t="s">
        <v>47</v>
      </c>
      <c r="F108" s="37">
        <f>$F$82*C108*0.01</f>
        <v>0</v>
      </c>
      <c r="G108" s="2" t="s">
        <v>25</v>
      </c>
      <c r="M108" s="13"/>
      <c r="N108" s="13"/>
      <c r="O108" s="13"/>
      <c r="P108" s="13"/>
      <c r="Q108" s="38"/>
    </row>
    <row r="109" spans="2:37" ht="5" customHeight="1" x14ac:dyDescent="0.25">
      <c r="M109" s="13"/>
      <c r="N109" s="13"/>
      <c r="O109" s="13"/>
      <c r="P109" s="13"/>
      <c r="Q109" s="13"/>
    </row>
    <row r="110" spans="2:37" x14ac:dyDescent="0.25">
      <c r="B110" s="2" t="s">
        <v>51</v>
      </c>
      <c r="C110" s="50"/>
      <c r="D110" s="2" t="s">
        <v>47</v>
      </c>
      <c r="F110" s="37">
        <f>$F$82*C110*0.01</f>
        <v>0</v>
      </c>
      <c r="G110" s="2" t="s">
        <v>25</v>
      </c>
      <c r="M110" s="13"/>
      <c r="N110" s="39"/>
      <c r="O110" s="13"/>
      <c r="P110" s="13"/>
      <c r="Q110" s="38"/>
    </row>
    <row r="111" spans="2:37" ht="5" customHeight="1" x14ac:dyDescent="0.25">
      <c r="M111" s="13"/>
      <c r="N111" s="13"/>
      <c r="O111" s="13"/>
      <c r="P111" s="13"/>
      <c r="Q111" s="13"/>
    </row>
    <row r="112" spans="2:37" x14ac:dyDescent="0.25">
      <c r="B112" s="2" t="s">
        <v>52</v>
      </c>
      <c r="C112" s="50"/>
      <c r="D112" s="2" t="s">
        <v>47</v>
      </c>
      <c r="F112" s="37">
        <f>$F$82*C112*0.01</f>
        <v>0</v>
      </c>
      <c r="G112" s="2" t="s">
        <v>25</v>
      </c>
      <c r="M112" s="13"/>
      <c r="N112" s="39"/>
      <c r="O112" s="13"/>
      <c r="P112" s="13"/>
      <c r="Q112" s="38"/>
    </row>
    <row r="113" spans="2:37" ht="12" thickBot="1" x14ac:dyDescent="0.3">
      <c r="B113" s="7"/>
      <c r="C113" s="7"/>
      <c r="D113" s="7"/>
      <c r="E113" s="7"/>
      <c r="F113" s="7"/>
      <c r="G113" s="7"/>
      <c r="H113" s="7"/>
      <c r="I113" s="7"/>
      <c r="J113" s="7"/>
      <c r="K113" s="7"/>
      <c r="L113" s="13"/>
      <c r="M113" s="7"/>
      <c r="N113" s="7"/>
      <c r="O113" s="7"/>
      <c r="P113" s="7"/>
      <c r="Q113" s="7"/>
      <c r="R113" s="7"/>
      <c r="S113" s="7"/>
      <c r="T113" s="7"/>
      <c r="U113" s="7"/>
      <c r="V113" s="7"/>
      <c r="W113" s="7"/>
      <c r="X113" s="7"/>
      <c r="Z113" s="7"/>
      <c r="AA113" s="7"/>
      <c r="AB113" s="7"/>
      <c r="AC113" s="7"/>
      <c r="AD113" s="7"/>
      <c r="AE113" s="7"/>
      <c r="AF113" s="7"/>
      <c r="AG113" s="7"/>
      <c r="AH113" s="7"/>
      <c r="AI113" s="7"/>
      <c r="AJ113" s="7"/>
      <c r="AK113" s="7"/>
    </row>
    <row r="115" spans="2:37" ht="15.5" x14ac:dyDescent="0.35">
      <c r="B115" s="30" t="s">
        <v>45</v>
      </c>
      <c r="C115" s="40" t="s">
        <v>62</v>
      </c>
      <c r="D115" s="40"/>
      <c r="E115" s="40"/>
      <c r="F115" s="40" t="s">
        <v>15</v>
      </c>
      <c r="G115" s="40"/>
      <c r="H115" s="40" t="s">
        <v>63</v>
      </c>
      <c r="M115" s="41"/>
    </row>
    <row r="117" spans="2:37" x14ac:dyDescent="0.25">
      <c r="B117" s="2" t="s">
        <v>56</v>
      </c>
      <c r="C117" s="37">
        <v>1.5</v>
      </c>
      <c r="F117" s="50"/>
      <c r="H117" s="37">
        <f>C117*F117</f>
        <v>0</v>
      </c>
    </row>
    <row r="118" spans="2:37" ht="5" customHeight="1" x14ac:dyDescent="0.25"/>
    <row r="119" spans="2:37" x14ac:dyDescent="0.25">
      <c r="B119" s="2" t="s">
        <v>57</v>
      </c>
      <c r="C119" s="37">
        <v>1.5</v>
      </c>
      <c r="F119" s="50"/>
      <c r="H119" s="37">
        <f>C119*F119</f>
        <v>0</v>
      </c>
    </row>
    <row r="120" spans="2:37" ht="5" customHeight="1" x14ac:dyDescent="0.25"/>
    <row r="121" spans="2:37" x14ac:dyDescent="0.25">
      <c r="B121" s="2" t="s">
        <v>58</v>
      </c>
      <c r="C121" s="37">
        <v>1</v>
      </c>
      <c r="F121" s="50"/>
      <c r="H121" s="37">
        <f>C121*F121</f>
        <v>0</v>
      </c>
    </row>
    <row r="122" spans="2:37" ht="5" customHeight="1" x14ac:dyDescent="0.25"/>
    <row r="123" spans="2:37" x14ac:dyDescent="0.25">
      <c r="B123" s="2" t="s">
        <v>59</v>
      </c>
      <c r="C123" s="37">
        <v>1</v>
      </c>
      <c r="F123" s="50"/>
      <c r="H123" s="37">
        <f>C123*F123</f>
        <v>0</v>
      </c>
    </row>
    <row r="124" spans="2:37" ht="5" customHeight="1" x14ac:dyDescent="0.25"/>
    <row r="125" spans="2:37" x14ac:dyDescent="0.25">
      <c r="B125" s="2" t="s">
        <v>64</v>
      </c>
      <c r="C125" s="37">
        <v>1</v>
      </c>
      <c r="F125" s="50"/>
      <c r="H125" s="37">
        <f>C125*F125</f>
        <v>0</v>
      </c>
    </row>
    <row r="126" spans="2:37" ht="5" customHeight="1" x14ac:dyDescent="0.25"/>
    <row r="127" spans="2:37" x14ac:dyDescent="0.25">
      <c r="B127" s="2" t="s">
        <v>60</v>
      </c>
      <c r="C127" s="37">
        <v>0.3</v>
      </c>
      <c r="F127" s="50"/>
      <c r="H127" s="37">
        <f>C127*F127</f>
        <v>0</v>
      </c>
    </row>
    <row r="128" spans="2:37" ht="5" customHeight="1" x14ac:dyDescent="0.25"/>
    <row r="129" spans="2:37" x14ac:dyDescent="0.25">
      <c r="B129" s="2" t="s">
        <v>61</v>
      </c>
      <c r="C129" s="37">
        <v>0.3</v>
      </c>
      <c r="F129" s="42">
        <f>H129/C129</f>
        <v>0</v>
      </c>
      <c r="H129" s="37">
        <f>F106-H117-H119-H121-H123-H125-H127</f>
        <v>0</v>
      </c>
      <c r="J129" s="43" t="str">
        <f>IF(F129&gt;(H134+H136+H138+H140+H142+H144+H146+H148),"Der mangler "&amp;ROUND((F129-H134-H136-H138-H140-H142-H144-H146-H148),1)&amp;" ha efterafgrøde, der kan tælle som MFO.","")</f>
        <v/>
      </c>
      <c r="Q129" s="43" t="str">
        <f>IF(F129&gt;(Q178+Q180+Q182),"Der mangler "&amp;ROUND((F129-Q178-Q180-Q182),1)&amp;" ha efterafgrøde, der kan tælle som MFO.","")</f>
        <v/>
      </c>
    </row>
    <row r="130" spans="2:37" ht="12" thickBot="1" x14ac:dyDescent="0.3">
      <c r="B130" s="7"/>
      <c r="C130" s="7"/>
      <c r="D130" s="7"/>
      <c r="E130" s="7"/>
      <c r="F130" s="7"/>
      <c r="G130" s="7"/>
      <c r="H130" s="7"/>
      <c r="I130" s="7"/>
      <c r="J130" s="7"/>
      <c r="K130" s="7"/>
      <c r="L130" s="13"/>
      <c r="M130" s="7"/>
      <c r="N130" s="7"/>
      <c r="O130" s="7"/>
      <c r="P130" s="7"/>
      <c r="Q130" s="7"/>
      <c r="R130" s="7"/>
      <c r="S130" s="7"/>
      <c r="T130" s="7"/>
      <c r="U130" s="7"/>
      <c r="V130" s="7"/>
      <c r="W130" s="7"/>
      <c r="X130" s="7"/>
      <c r="Z130" s="7"/>
      <c r="AA130" s="7"/>
      <c r="AB130" s="7"/>
      <c r="AC130" s="7"/>
      <c r="AD130" s="7"/>
      <c r="AE130" s="7"/>
      <c r="AF130" s="7"/>
      <c r="AG130" s="7"/>
      <c r="AH130" s="7"/>
      <c r="AI130" s="7"/>
      <c r="AJ130" s="7"/>
      <c r="AK130" s="7"/>
    </row>
    <row r="132" spans="2:37" ht="23.5" x14ac:dyDescent="0.3">
      <c r="B132" s="30" t="s">
        <v>65</v>
      </c>
      <c r="C132" s="11" t="s">
        <v>62</v>
      </c>
      <c r="F132" s="11" t="s">
        <v>15</v>
      </c>
      <c r="G132" s="11"/>
      <c r="H132" s="11" t="s">
        <v>63</v>
      </c>
      <c r="I132" s="4"/>
      <c r="J132" s="44" t="s">
        <v>188</v>
      </c>
      <c r="K132" s="44" t="s">
        <v>189</v>
      </c>
      <c r="L132" s="11"/>
      <c r="M132" s="30" t="s">
        <v>65</v>
      </c>
      <c r="N132" s="11" t="s">
        <v>62</v>
      </c>
      <c r="Q132" s="11" t="s">
        <v>15</v>
      </c>
      <c r="R132" s="11"/>
      <c r="S132" s="11" t="s">
        <v>63</v>
      </c>
      <c r="T132" s="4"/>
      <c r="U132" s="44" t="s">
        <v>188</v>
      </c>
      <c r="V132" s="44" t="s">
        <v>189</v>
      </c>
      <c r="W132" s="45" t="s">
        <v>226</v>
      </c>
      <c r="X132" s="45" t="s">
        <v>225</v>
      </c>
      <c r="Z132" s="30" t="s">
        <v>65</v>
      </c>
      <c r="AA132" s="11" t="s">
        <v>62</v>
      </c>
      <c r="AD132" s="11" t="s">
        <v>15</v>
      </c>
      <c r="AE132" s="11"/>
      <c r="AF132" s="11" t="s">
        <v>63</v>
      </c>
      <c r="AG132" s="4"/>
      <c r="AH132" s="44" t="s">
        <v>188</v>
      </c>
      <c r="AI132" s="44" t="s">
        <v>189</v>
      </c>
      <c r="AJ132" s="45" t="s">
        <v>226</v>
      </c>
      <c r="AK132" s="45" t="s">
        <v>225</v>
      </c>
    </row>
    <row r="134" spans="2:37" x14ac:dyDescent="0.25">
      <c r="B134" s="2" t="s">
        <v>186</v>
      </c>
      <c r="C134" s="46">
        <v>1</v>
      </c>
      <c r="F134" s="50"/>
      <c r="H134" s="37">
        <f>C134*F134</f>
        <v>0</v>
      </c>
      <c r="J134" s="8">
        <f>IF(OR($F$86&lt;80,$F$86=""),'4 Efterafgrøder'!$M$16,'4 Efterafgrøder'!$N$16)</f>
        <v>-17</v>
      </c>
      <c r="K134" s="8">
        <f>F134*J134</f>
        <v>0</v>
      </c>
      <c r="M134" s="2" t="s">
        <v>186</v>
      </c>
      <c r="N134" s="46">
        <v>1</v>
      </c>
      <c r="Q134" s="50"/>
      <c r="S134" s="37">
        <f>N134*Q134</f>
        <v>0</v>
      </c>
      <c r="U134" s="8">
        <f>IF(OR($F$86&lt;80,$F$86=""),'4 Efterafgrøder'!$M$16,'4 Efterafgrøder'!$N$16)</f>
        <v>-17</v>
      </c>
      <c r="V134" s="8">
        <f>Q134*U134</f>
        <v>0</v>
      </c>
      <c r="Z134" s="2" t="s">
        <v>186</v>
      </c>
      <c r="AA134" s="46">
        <v>1</v>
      </c>
      <c r="AD134" s="50"/>
      <c r="AF134" s="37">
        <f>AA134*AD134</f>
        <v>0</v>
      </c>
      <c r="AH134" s="8">
        <f>IF(OR($F$86&lt;80,$F$86=""),'4 Efterafgrøder'!$M$16,'4 Efterafgrøder'!$N$16)</f>
        <v>-17</v>
      </c>
      <c r="AI134" s="8">
        <f>AD134*AH134</f>
        <v>0</v>
      </c>
    </row>
    <row r="135" spans="2:37" ht="5" customHeight="1" x14ac:dyDescent="0.25"/>
    <row r="136" spans="2:37" x14ac:dyDescent="0.25">
      <c r="B136" s="2" t="s">
        <v>187</v>
      </c>
      <c r="C136" s="46">
        <v>1</v>
      </c>
      <c r="F136" s="50"/>
      <c r="H136" s="37">
        <f>C136*F136</f>
        <v>0</v>
      </c>
      <c r="J136" s="8">
        <f>IF(OR($F$86&lt;80,$F$86=""),'4 Efterafgrøder'!$O$16,'4 Efterafgrøder'!$P$16)</f>
        <v>193</v>
      </c>
      <c r="K136" s="8">
        <f>F136*J136</f>
        <v>0</v>
      </c>
      <c r="M136" s="2" t="s">
        <v>187</v>
      </c>
      <c r="N136" s="46">
        <v>1</v>
      </c>
      <c r="Q136" s="50"/>
      <c r="S136" s="37">
        <f>N136*Q136</f>
        <v>0</v>
      </c>
      <c r="U136" s="8">
        <f>IF(OR($F$86&lt;80,$F$86=""),'4 Efterafgrøder'!$O$16,'4 Efterafgrøder'!$P$16)</f>
        <v>193</v>
      </c>
      <c r="V136" s="8">
        <f>Q136*U136</f>
        <v>0</v>
      </c>
      <c r="Z136" s="2" t="s">
        <v>187</v>
      </c>
      <c r="AA136" s="46">
        <v>1</v>
      </c>
      <c r="AD136" s="50"/>
      <c r="AF136" s="37">
        <f>AA136*AD136</f>
        <v>0</v>
      </c>
      <c r="AH136" s="8">
        <f>IF(OR($F$86&lt;80,$F$86=""),'4 Efterafgrøder'!$O$16,'4 Efterafgrøder'!$P$16)</f>
        <v>193</v>
      </c>
      <c r="AI136" s="8">
        <f>AD136*AH136</f>
        <v>0</v>
      </c>
    </row>
    <row r="137" spans="2:37" ht="5" customHeight="1" x14ac:dyDescent="0.25"/>
    <row r="138" spans="2:37" x14ac:dyDescent="0.25">
      <c r="B138" s="2" t="s">
        <v>190</v>
      </c>
      <c r="C138" s="46">
        <v>1</v>
      </c>
      <c r="F138" s="50"/>
      <c r="H138" s="37">
        <f>C138*F138</f>
        <v>0</v>
      </c>
      <c r="J138" s="8">
        <f>IF(OR($F$86&lt;80,$F$86=""),'4 Efterafgrøder'!$M$37,'4 Efterafgrøder'!$N$37)</f>
        <v>130</v>
      </c>
      <c r="K138" s="8">
        <f>F138*J138</f>
        <v>0</v>
      </c>
      <c r="M138" s="2" t="s">
        <v>190</v>
      </c>
      <c r="N138" s="46">
        <v>1</v>
      </c>
      <c r="Q138" s="50"/>
      <c r="S138" s="37">
        <f>N138*Q138</f>
        <v>0</v>
      </c>
      <c r="U138" s="8">
        <f>IF(OR($F$86&lt;80,$F$86=""),'4 Efterafgrøder'!$M$37,'4 Efterafgrøder'!$N$37)</f>
        <v>130</v>
      </c>
      <c r="V138" s="8">
        <f>Q138*U138</f>
        <v>0</v>
      </c>
      <c r="Z138" s="2" t="s">
        <v>190</v>
      </c>
      <c r="AA138" s="46">
        <v>1</v>
      </c>
      <c r="AD138" s="50"/>
      <c r="AF138" s="37">
        <f>AA138*AD138</f>
        <v>0</v>
      </c>
      <c r="AH138" s="8">
        <f>IF(OR($F$86&lt;80,$F$86=""),'4 Efterafgrøder'!$M$37,'4 Efterafgrøder'!$N$37)</f>
        <v>130</v>
      </c>
      <c r="AI138" s="8">
        <f>AD138*AH138</f>
        <v>0</v>
      </c>
    </row>
    <row r="139" spans="2:37" ht="5" customHeight="1" x14ac:dyDescent="0.25"/>
    <row r="140" spans="2:37" x14ac:dyDescent="0.25">
      <c r="B140" s="2" t="s">
        <v>191</v>
      </c>
      <c r="C140" s="46">
        <v>1</v>
      </c>
      <c r="F140" s="50"/>
      <c r="H140" s="37">
        <f>C140*F140</f>
        <v>0</v>
      </c>
      <c r="J140" s="8">
        <f>IF(OR($F$86&lt;80,$F$86=""),'4 Efterafgrøder'!$O$37,'4 Efterafgrøder'!$P$37)</f>
        <v>340</v>
      </c>
      <c r="K140" s="8">
        <f>F140*J140</f>
        <v>0</v>
      </c>
      <c r="M140" s="2" t="s">
        <v>191</v>
      </c>
      <c r="N140" s="46">
        <v>1</v>
      </c>
      <c r="Q140" s="50"/>
      <c r="S140" s="37">
        <f>N140*Q140</f>
        <v>0</v>
      </c>
      <c r="U140" s="8">
        <f>IF(OR($F$86&lt;80,$F$86=""),'4 Efterafgrøder'!$O$37,'4 Efterafgrøder'!$P$37)</f>
        <v>340</v>
      </c>
      <c r="V140" s="8">
        <f>Q140*U140</f>
        <v>0</v>
      </c>
      <c r="Z140" s="2" t="s">
        <v>191</v>
      </c>
      <c r="AA140" s="46">
        <v>1</v>
      </c>
      <c r="AD140" s="50"/>
      <c r="AF140" s="37">
        <f>AA140*AD140</f>
        <v>0</v>
      </c>
      <c r="AH140" s="8">
        <f>IF(OR($F$86&lt;80,$F$86=""),'4 Efterafgrøder'!$O$37,'4 Efterafgrøder'!$P$37)</f>
        <v>340</v>
      </c>
      <c r="AI140" s="8">
        <f>AD140*AH140</f>
        <v>0</v>
      </c>
    </row>
    <row r="141" spans="2:37" ht="5" customHeight="1" x14ac:dyDescent="0.25"/>
    <row r="142" spans="2:37" x14ac:dyDescent="0.25">
      <c r="B142" s="2" t="s">
        <v>196</v>
      </c>
      <c r="C142" s="46">
        <v>1</v>
      </c>
      <c r="F142" s="50"/>
      <c r="H142" s="37">
        <f>C142*F142</f>
        <v>0</v>
      </c>
      <c r="J142" s="8">
        <f>IF(OR($F$86&lt;80,$F$86=""),'4 Efterafgrøder'!$M$60,'4 Efterafgrøder'!$N$60)</f>
        <v>255</v>
      </c>
      <c r="K142" s="8">
        <f>F142*J142</f>
        <v>0</v>
      </c>
      <c r="M142" s="2" t="s">
        <v>192</v>
      </c>
      <c r="N142" s="46">
        <v>1</v>
      </c>
      <c r="Q142" s="50"/>
      <c r="S142" s="37">
        <f>N142*Q142</f>
        <v>0</v>
      </c>
      <c r="U142" s="8">
        <f>IF(OR($F$86&lt;80,$F$86=""),'4 Efterafgrøder'!$M$37,'4 Efterafgrøder'!$N$37)</f>
        <v>130</v>
      </c>
      <c r="V142" s="8">
        <f>Q142*U142</f>
        <v>0</v>
      </c>
      <c r="W142" s="2">
        <f>IF($F$86&lt;80,17,27)</f>
        <v>17</v>
      </c>
      <c r="X142" s="8">
        <f>Q142*W142</f>
        <v>0</v>
      </c>
      <c r="Z142" s="2" t="s">
        <v>192</v>
      </c>
      <c r="AA142" s="46">
        <v>1</v>
      </c>
      <c r="AD142" s="50"/>
      <c r="AF142" s="37">
        <f>AA142*AD142</f>
        <v>0</v>
      </c>
      <c r="AH142" s="8">
        <f>IF(OR($F$86&lt;80,$F$86=""),'4 Efterafgrøder'!$M$37,'4 Efterafgrøder'!$N$37)</f>
        <v>130</v>
      </c>
      <c r="AI142" s="8">
        <f>AD142*AH142</f>
        <v>0</v>
      </c>
      <c r="AJ142" s="2">
        <f>IF($F$86&lt;80,17,27)</f>
        <v>17</v>
      </c>
      <c r="AK142" s="8">
        <f>AD142*AJ142</f>
        <v>0</v>
      </c>
    </row>
    <row r="143" spans="2:37" ht="5" customHeight="1" x14ac:dyDescent="0.25">
      <c r="X143" s="8"/>
      <c r="AK143" s="8"/>
    </row>
    <row r="144" spans="2:37" x14ac:dyDescent="0.25">
      <c r="B144" s="2" t="s">
        <v>197</v>
      </c>
      <c r="C144" s="46">
        <v>1</v>
      </c>
      <c r="F144" s="50"/>
      <c r="H144" s="37">
        <f>C144*F144</f>
        <v>0</v>
      </c>
      <c r="J144" s="8">
        <f>IF(OR($F$86&lt;80,$F$86=""),'4 Efterafgrøder'!$O$60,'4 Efterafgrøder'!$P$60)</f>
        <v>255</v>
      </c>
      <c r="K144" s="8">
        <f>F144*J144</f>
        <v>0</v>
      </c>
      <c r="M144" s="2" t="s">
        <v>193</v>
      </c>
      <c r="N144" s="46">
        <v>1</v>
      </c>
      <c r="Q144" s="50"/>
      <c r="S144" s="37">
        <f>N144*Q144</f>
        <v>0</v>
      </c>
      <c r="U144" s="8">
        <f>IF(OR($F$86&lt;80,$F$86=""),'4 Efterafgrøder'!$O$37,'4 Efterafgrøder'!$P$37)</f>
        <v>340</v>
      </c>
      <c r="V144" s="8">
        <f>Q144*U144</f>
        <v>0</v>
      </c>
      <c r="W144" s="2">
        <f>IF($F$86&lt;80,17,27)</f>
        <v>17</v>
      </c>
      <c r="X144" s="8">
        <f>Q144*W144</f>
        <v>0</v>
      </c>
      <c r="Z144" s="2" t="s">
        <v>193</v>
      </c>
      <c r="AA144" s="46">
        <v>1</v>
      </c>
      <c r="AD144" s="50"/>
      <c r="AF144" s="37">
        <f>AA144*AD144</f>
        <v>0</v>
      </c>
      <c r="AH144" s="8">
        <f>IF(OR($F$86&lt;80,$F$86=""),'4 Efterafgrøder'!$O$37,'4 Efterafgrøder'!$P$37)</f>
        <v>340</v>
      </c>
      <c r="AI144" s="8">
        <f>AD144*AH144</f>
        <v>0</v>
      </c>
      <c r="AJ144" s="2">
        <f>IF($F$86&lt;80,17,27)</f>
        <v>17</v>
      </c>
      <c r="AK144" s="8">
        <f>AD144*AJ144</f>
        <v>0</v>
      </c>
    </row>
    <row r="145" spans="2:37" ht="5" customHeight="1" x14ac:dyDescent="0.25">
      <c r="X145" s="8"/>
      <c r="AK145" s="8"/>
    </row>
    <row r="146" spans="2:37" x14ac:dyDescent="0.25">
      <c r="B146" s="2" t="s">
        <v>198</v>
      </c>
      <c r="C146" s="46">
        <v>1</v>
      </c>
      <c r="F146" s="50"/>
      <c r="H146" s="37">
        <f>C146*F146</f>
        <v>0</v>
      </c>
      <c r="J146" s="8">
        <f>IF(OR($F$86&lt;80,$F$86=""),'4 Efterafgrøder'!$M$94,'4 Efterafgrøder'!$N$94)</f>
        <v>1440</v>
      </c>
      <c r="K146" s="8">
        <f>F146*J146</f>
        <v>0</v>
      </c>
      <c r="M146" s="2" t="s">
        <v>194</v>
      </c>
      <c r="N146" s="46">
        <v>1</v>
      </c>
      <c r="Q146" s="50"/>
      <c r="S146" s="37">
        <f>N146*Q146</f>
        <v>0</v>
      </c>
      <c r="U146" s="8">
        <f>IF(OR($F$86&lt;80,$F$86=""),'4 Efterafgrøder'!$M$37,'4 Efterafgrøder'!$N$37)</f>
        <v>130</v>
      </c>
      <c r="V146" s="8">
        <f>Q146*U146</f>
        <v>0</v>
      </c>
      <c r="W146" s="2">
        <f>IF($F$86&lt;80,30,48)</f>
        <v>30</v>
      </c>
      <c r="X146" s="8">
        <f>Q146*W146</f>
        <v>0</v>
      </c>
      <c r="Z146" s="2" t="s">
        <v>194</v>
      </c>
      <c r="AA146" s="46">
        <v>1</v>
      </c>
      <c r="AD146" s="50"/>
      <c r="AF146" s="37">
        <f>AA146*AD146</f>
        <v>0</v>
      </c>
      <c r="AH146" s="8">
        <f>IF(OR($F$86&lt;80,$F$86=""),'4 Efterafgrøder'!$M$37,'4 Efterafgrøder'!$N$37)</f>
        <v>130</v>
      </c>
      <c r="AI146" s="8">
        <f>AD146*AH146</f>
        <v>0</v>
      </c>
      <c r="AJ146" s="2">
        <f>IF($F$86&lt;80,30,48)</f>
        <v>30</v>
      </c>
      <c r="AK146" s="8">
        <f>AD146*AJ146</f>
        <v>0</v>
      </c>
    </row>
    <row r="147" spans="2:37" ht="5" customHeight="1" x14ac:dyDescent="0.25">
      <c r="X147" s="8"/>
      <c r="AK147" s="8"/>
    </row>
    <row r="148" spans="2:37" x14ac:dyDescent="0.25">
      <c r="B148" s="2" t="s">
        <v>199</v>
      </c>
      <c r="C148" s="46">
        <v>1</v>
      </c>
      <c r="F148" s="50"/>
      <c r="H148" s="37">
        <f>C148*F148</f>
        <v>0</v>
      </c>
      <c r="J148" s="8">
        <f>IF(OR($F$86&lt;80,$F$86=""),'4 Efterafgrøder'!$O$94,'4 Efterafgrøder'!$P$94)</f>
        <v>2400</v>
      </c>
      <c r="K148" s="8">
        <f>F148*J148</f>
        <v>0</v>
      </c>
      <c r="M148" s="2" t="s">
        <v>195</v>
      </c>
      <c r="N148" s="46">
        <v>1</v>
      </c>
      <c r="Q148" s="50"/>
      <c r="S148" s="37">
        <f>N148*Q148</f>
        <v>0</v>
      </c>
      <c r="U148" s="8">
        <f>IF(OR($F$86&lt;80,$F$86=""),'4 Efterafgrøder'!$O$37,'4 Efterafgrøder'!$P$37)</f>
        <v>340</v>
      </c>
      <c r="V148" s="8">
        <f>Q148*U148</f>
        <v>0</v>
      </c>
      <c r="W148" s="2">
        <f>IF($F$86&lt;80,30,48)</f>
        <v>30</v>
      </c>
      <c r="X148" s="8">
        <f>Q148*W148</f>
        <v>0</v>
      </c>
      <c r="Z148" s="2" t="s">
        <v>195</v>
      </c>
      <c r="AA148" s="46">
        <v>1</v>
      </c>
      <c r="AD148" s="50"/>
      <c r="AF148" s="37">
        <f>AA148*AD148</f>
        <v>0</v>
      </c>
      <c r="AH148" s="8">
        <f>IF(OR($F$86&lt;80,$F$86=""),'4 Efterafgrøder'!$O$37,'4 Efterafgrøder'!$P$37)</f>
        <v>340</v>
      </c>
      <c r="AI148" s="8">
        <f>AD148*AH148</f>
        <v>0</v>
      </c>
      <c r="AJ148" s="2">
        <f>IF($F$86&lt;80,30,48)</f>
        <v>30</v>
      </c>
      <c r="AK148" s="8">
        <f>AD148*AJ148</f>
        <v>0</v>
      </c>
    </row>
    <row r="149" spans="2:37" ht="5" customHeight="1" x14ac:dyDescent="0.25">
      <c r="N149" s="46"/>
      <c r="Q149" s="38"/>
      <c r="X149" s="8"/>
      <c r="AA149" s="46"/>
      <c r="AD149" s="38"/>
      <c r="AK149" s="8"/>
    </row>
    <row r="150" spans="2:37" x14ac:dyDescent="0.25">
      <c r="B150" s="2" t="s">
        <v>67</v>
      </c>
      <c r="C150" s="46">
        <v>0.5</v>
      </c>
      <c r="F150" s="50"/>
      <c r="H150" s="37">
        <f>C150*F150</f>
        <v>0</v>
      </c>
      <c r="J150" s="8">
        <f>IF(OR($F$86&lt;80,$F$86=""),'6 Tidlig såning'!$M$16,'6 Tidlig såning'!$N$16)</f>
        <v>0</v>
      </c>
      <c r="K150" s="8">
        <f>F150*J150</f>
        <v>0</v>
      </c>
      <c r="M150" s="2" t="s">
        <v>194</v>
      </c>
      <c r="N150" s="46">
        <v>1</v>
      </c>
      <c r="Q150" s="50"/>
      <c r="S150" s="37">
        <f>N150*Q150</f>
        <v>0</v>
      </c>
      <c r="U150" s="8">
        <f>IF(OR($F$86&lt;80,$F$86=""),'4 Efterafgrøder'!$M$37,'4 Efterafgrøder'!$N$37)</f>
        <v>130</v>
      </c>
      <c r="V150" s="8">
        <f>Q150*U150</f>
        <v>0</v>
      </c>
      <c r="W150" s="2">
        <f>IF($F$86&lt;80,45,72)</f>
        <v>45</v>
      </c>
      <c r="X150" s="8">
        <f>Q150*W150</f>
        <v>0</v>
      </c>
      <c r="Z150" s="2" t="s">
        <v>194</v>
      </c>
      <c r="AA150" s="46">
        <v>1</v>
      </c>
      <c r="AD150" s="50"/>
      <c r="AF150" s="37">
        <f>AA150*AD150</f>
        <v>0</v>
      </c>
      <c r="AH150" s="8">
        <f>IF(OR($F$86&lt;80,$F$86=""),'4 Efterafgrøder'!$M$37,'4 Efterafgrøder'!$N$37)</f>
        <v>130</v>
      </c>
      <c r="AI150" s="8">
        <f>AD150*AH150</f>
        <v>0</v>
      </c>
      <c r="AJ150" s="2">
        <f>IF($F$86&lt;80,45,72)</f>
        <v>45</v>
      </c>
      <c r="AK150" s="8">
        <f>AD150*AJ150</f>
        <v>0</v>
      </c>
    </row>
    <row r="151" spans="2:37" ht="5" customHeight="1" x14ac:dyDescent="0.25">
      <c r="X151" s="8"/>
      <c r="AK151" s="8"/>
    </row>
    <row r="152" spans="2:37" x14ac:dyDescent="0.25">
      <c r="B152" s="2" t="s">
        <v>77</v>
      </c>
      <c r="C152" s="46">
        <v>0.5</v>
      </c>
      <c r="F152" s="50"/>
      <c r="H152" s="37">
        <f>C152*F152</f>
        <v>0</v>
      </c>
      <c r="J152" s="8">
        <f>IF(OR($F$86&lt;80,$F$86=""),'5 Mellemafgrøder'!$M$38,'5 Mellemafgrøder'!$N$38)</f>
        <v>0</v>
      </c>
      <c r="K152" s="8">
        <f>F152*J152</f>
        <v>0</v>
      </c>
      <c r="M152" s="2" t="s">
        <v>195</v>
      </c>
      <c r="N152" s="46">
        <v>1</v>
      </c>
      <c r="Q152" s="50"/>
      <c r="S152" s="37">
        <f>N152*Q152</f>
        <v>0</v>
      </c>
      <c r="U152" s="8">
        <f>IF(OR($F$86&lt;80,$F$86=""),'4 Efterafgrøder'!$O$37,'4 Efterafgrøder'!$P$37)</f>
        <v>340</v>
      </c>
      <c r="V152" s="8">
        <f>Q152*U152</f>
        <v>0</v>
      </c>
      <c r="W152" s="2">
        <f>IF($F$86&lt;80,45,72)</f>
        <v>45</v>
      </c>
      <c r="X152" s="8">
        <f>Q152*W152</f>
        <v>0</v>
      </c>
      <c r="Z152" s="2" t="s">
        <v>195</v>
      </c>
      <c r="AA152" s="46">
        <v>1</v>
      </c>
      <c r="AD152" s="50"/>
      <c r="AF152" s="37">
        <f>AA152*AD152</f>
        <v>0</v>
      </c>
      <c r="AH152" s="8">
        <f>IF(OR($F$86&lt;80,$F$86=""),'4 Efterafgrøder'!$O$37,'4 Efterafgrøder'!$P$37)</f>
        <v>340</v>
      </c>
      <c r="AI152" s="8">
        <f>AD152*AH152</f>
        <v>0</v>
      </c>
      <c r="AJ152" s="2">
        <f>IF($F$86&lt;80,45,72)</f>
        <v>45</v>
      </c>
      <c r="AK152" s="8">
        <f>AD152*AJ152</f>
        <v>0</v>
      </c>
    </row>
    <row r="153" spans="2:37" ht="5" customHeight="1" x14ac:dyDescent="0.25"/>
    <row r="154" spans="2:37" x14ac:dyDescent="0.25">
      <c r="B154" s="2" t="s">
        <v>76</v>
      </c>
      <c r="C154" s="46">
        <v>0.5</v>
      </c>
      <c r="F154" s="50"/>
      <c r="H154" s="37">
        <f>C154*F154</f>
        <v>0</v>
      </c>
      <c r="J154" s="8">
        <f>IF(OR($F$86&lt;80,$F$86=""),'5 Mellemafgrøder'!$M$16,'5 Mellemafgrøder'!$N$16)</f>
        <v>450</v>
      </c>
      <c r="K154" s="8">
        <f>F154*J154</f>
        <v>0</v>
      </c>
      <c r="M154" s="2" t="s">
        <v>196</v>
      </c>
      <c r="N154" s="46">
        <v>1</v>
      </c>
      <c r="Q154" s="50"/>
      <c r="S154" s="37">
        <f>N154*Q154</f>
        <v>0</v>
      </c>
      <c r="U154" s="8">
        <f>IF(OR($F$86&lt;80,$F$86=""),'4 Efterafgrøder'!$M$60,'4 Efterafgrøder'!$N$60)</f>
        <v>255</v>
      </c>
      <c r="V154" s="8">
        <f>Q154*U154</f>
        <v>0</v>
      </c>
      <c r="Z154" s="2" t="s">
        <v>196</v>
      </c>
      <c r="AA154" s="46">
        <v>1</v>
      </c>
      <c r="AD154" s="50"/>
      <c r="AF154" s="37">
        <f>AA154*AD154</f>
        <v>0</v>
      </c>
      <c r="AH154" s="8">
        <f>IF(OR($F$86&lt;80,$F$86=""),'4 Efterafgrøder'!$M$60,'4 Efterafgrøder'!$N$60)</f>
        <v>255</v>
      </c>
      <c r="AI154" s="8">
        <f>AD154*AH154</f>
        <v>0</v>
      </c>
    </row>
    <row r="155" spans="2:37" ht="5" customHeight="1" x14ac:dyDescent="0.25"/>
    <row r="156" spans="2:37" x14ac:dyDescent="0.25">
      <c r="B156" s="2" t="s">
        <v>205</v>
      </c>
      <c r="C156" s="46">
        <v>4</v>
      </c>
      <c r="F156" s="50"/>
      <c r="H156" s="37">
        <f>C156*F156</f>
        <v>0</v>
      </c>
      <c r="J156" s="8">
        <f>IF(OR($F$86&lt;80,$F$86=""),'7 Brak v vandløb'!$U$17,'7 Brak v vandløb'!$V$17)</f>
        <v>3831</v>
      </c>
      <c r="K156" s="8">
        <f>F156*J156</f>
        <v>0</v>
      </c>
      <c r="M156" s="2" t="s">
        <v>197</v>
      </c>
      <c r="N156" s="46">
        <v>1</v>
      </c>
      <c r="Q156" s="50"/>
      <c r="S156" s="37">
        <f>N156*Q156</f>
        <v>0</v>
      </c>
      <c r="U156" s="8">
        <f>IF(OR($F$86&lt;80,$F$86=""),'4 Efterafgrøder'!$O$60,'4 Efterafgrøder'!$P$60)</f>
        <v>255</v>
      </c>
      <c r="V156" s="8">
        <f>Q156*U156</f>
        <v>0</v>
      </c>
      <c r="Z156" s="2" t="s">
        <v>197</v>
      </c>
      <c r="AA156" s="46">
        <v>1</v>
      </c>
      <c r="AD156" s="50"/>
      <c r="AF156" s="37">
        <f>AA156*AD156</f>
        <v>0</v>
      </c>
      <c r="AH156" s="8">
        <f>IF(OR($F$86&lt;80,$F$86=""),'4 Efterafgrøder'!$O$60,'4 Efterafgrøder'!$P$60)</f>
        <v>255</v>
      </c>
      <c r="AI156" s="8">
        <f>AD156*AH156</f>
        <v>0</v>
      </c>
    </row>
    <row r="157" spans="2:37" ht="5" customHeight="1" x14ac:dyDescent="0.25"/>
    <row r="158" spans="2:37" x14ac:dyDescent="0.25">
      <c r="B158" s="2" t="s">
        <v>206</v>
      </c>
      <c r="C158" s="46">
        <v>4</v>
      </c>
      <c r="F158" s="50"/>
      <c r="H158" s="37">
        <f>C158*F158</f>
        <v>0</v>
      </c>
      <c r="J158" s="8">
        <f>IF(OR($F$86&lt;80,$F$86=""),'7 Brak v vandløb'!$W$17,'7 Brak v vandløb'!$X$17)</f>
        <v>5133</v>
      </c>
      <c r="K158" s="8">
        <f>F158*J158</f>
        <v>0</v>
      </c>
      <c r="M158" s="2" t="s">
        <v>198</v>
      </c>
      <c r="N158" s="46">
        <v>1</v>
      </c>
      <c r="Q158" s="50"/>
      <c r="S158" s="37">
        <f>N158*Q158</f>
        <v>0</v>
      </c>
      <c r="U158" s="8">
        <f>IF(OR($F$86&lt;80,$F$86=""),'4 Efterafgrøder'!$M$94,'4 Efterafgrøder'!$N$94)</f>
        <v>1440</v>
      </c>
      <c r="V158" s="8">
        <f>Q158*U158</f>
        <v>0</v>
      </c>
      <c r="Z158" s="2" t="s">
        <v>198</v>
      </c>
      <c r="AA158" s="46">
        <v>1</v>
      </c>
      <c r="AD158" s="50"/>
      <c r="AF158" s="37">
        <f>AA158*AD158</f>
        <v>0</v>
      </c>
      <c r="AH158" s="8">
        <f>IF(OR($F$86&lt;80,$F$86=""),'4 Efterafgrøder'!$M$94,'4 Efterafgrøder'!$N$94)</f>
        <v>1440</v>
      </c>
      <c r="AI158" s="8">
        <f>AD158*AH158</f>
        <v>0</v>
      </c>
    </row>
    <row r="159" spans="2:37" ht="5" customHeight="1" x14ac:dyDescent="0.25"/>
    <row r="160" spans="2:37" x14ac:dyDescent="0.25">
      <c r="B160" s="2" t="s">
        <v>207</v>
      </c>
      <c r="C160" s="46">
        <v>4</v>
      </c>
      <c r="F160" s="50"/>
      <c r="H160" s="37">
        <f>C160*F160</f>
        <v>0</v>
      </c>
      <c r="J160" s="8">
        <f>IF(OR($F$86&lt;80,$F$86=""),'7 Brak v vandløb'!$Y$17,'7 Brak v vandløb'!$Z$17)</f>
        <v>7178</v>
      </c>
      <c r="K160" s="8">
        <f>F160*J160</f>
        <v>0</v>
      </c>
      <c r="M160" s="2" t="s">
        <v>199</v>
      </c>
      <c r="N160" s="46">
        <v>1</v>
      </c>
      <c r="Q160" s="50"/>
      <c r="S160" s="37">
        <f>N160*Q160</f>
        <v>0</v>
      </c>
      <c r="U160" s="8">
        <f>IF(OR($F$86&lt;80,$F$86=""),'4 Efterafgrøder'!$O$94,'4 Efterafgrøder'!$P$94)</f>
        <v>2400</v>
      </c>
      <c r="V160" s="8">
        <f>Q160*U160</f>
        <v>0</v>
      </c>
      <c r="Z160" s="2" t="s">
        <v>199</v>
      </c>
      <c r="AA160" s="46">
        <v>1</v>
      </c>
      <c r="AD160" s="50"/>
      <c r="AF160" s="37">
        <f>AA160*AD160</f>
        <v>0</v>
      </c>
      <c r="AH160" s="8">
        <f>IF(OR($F$86&lt;80,$F$86=""),'4 Efterafgrøder'!$O$94,'4 Efterafgrøder'!$P$94)</f>
        <v>2400</v>
      </c>
      <c r="AI160" s="8">
        <f>AD160*AH160</f>
        <v>0</v>
      </c>
    </row>
    <row r="161" spans="2:37" ht="5" customHeight="1" x14ac:dyDescent="0.25"/>
    <row r="162" spans="2:37" x14ac:dyDescent="0.25">
      <c r="B162" s="2" t="s">
        <v>208</v>
      </c>
      <c r="C162" s="46">
        <v>4</v>
      </c>
      <c r="F162" s="50"/>
      <c r="H162" s="37">
        <f>C162*F162</f>
        <v>0</v>
      </c>
      <c r="J162" s="8">
        <f>IF(OR($F$86&lt;80,$F$86=""),'7 Brak v vandløb'!$AA$17,'7 Brak v vandløb'!$AB$17)</f>
        <v>7592</v>
      </c>
      <c r="K162" s="8">
        <f>F162*J162</f>
        <v>0</v>
      </c>
      <c r="M162" s="2" t="s">
        <v>200</v>
      </c>
      <c r="N162" s="46">
        <v>1</v>
      </c>
      <c r="Q162" s="50"/>
      <c r="S162" s="37">
        <f>N162*Q162</f>
        <v>0</v>
      </c>
      <c r="U162" s="8">
        <f>IF(OR($F$86&lt;80,$F$86=""),'4 Efterafgrøder'!$M$94,'4 Efterafgrøder'!$N$94)</f>
        <v>1440</v>
      </c>
      <c r="V162" s="8">
        <f>Q162*U162</f>
        <v>0</v>
      </c>
      <c r="W162" s="2">
        <f>IF($F$86&lt;80,17,27)</f>
        <v>17</v>
      </c>
      <c r="X162" s="8">
        <f>Q162*W162</f>
        <v>0</v>
      </c>
      <c r="Z162" s="2" t="s">
        <v>200</v>
      </c>
      <c r="AA162" s="46">
        <v>1</v>
      </c>
      <c r="AD162" s="50"/>
      <c r="AF162" s="37">
        <f>AA162*AD162</f>
        <v>0</v>
      </c>
      <c r="AH162" s="8">
        <f>IF(OR($F$86&lt;80,$F$86=""),'4 Efterafgrøder'!$M$94,'4 Efterafgrøder'!$N$94)</f>
        <v>1440</v>
      </c>
      <c r="AI162" s="8">
        <f>AD162*AH162</f>
        <v>0</v>
      </c>
      <c r="AJ162" s="2">
        <f>IF($F$86&lt;80,17,27)</f>
        <v>17</v>
      </c>
      <c r="AK162" s="8">
        <f>AD162*AJ162</f>
        <v>0</v>
      </c>
    </row>
    <row r="163" spans="2:37" ht="5" customHeight="1" x14ac:dyDescent="0.25">
      <c r="X163" s="8"/>
      <c r="AK163" s="8"/>
    </row>
    <row r="164" spans="2:37" x14ac:dyDescent="0.25">
      <c r="B164" s="2" t="s">
        <v>209</v>
      </c>
      <c r="C164" s="46">
        <v>1</v>
      </c>
      <c r="F164" s="50"/>
      <c r="H164" s="37">
        <f>C164*F164</f>
        <v>0</v>
      </c>
      <c r="J164" s="8">
        <f>IF(OR($F$86&lt;80,$F$86=""),'8 Brak'!$U$19,'8 Brak'!$V$19)</f>
        <v>3831</v>
      </c>
      <c r="K164" s="8">
        <f>F164*J164</f>
        <v>0</v>
      </c>
      <c r="M164" s="2" t="s">
        <v>201</v>
      </c>
      <c r="N164" s="46">
        <v>1</v>
      </c>
      <c r="Q164" s="50"/>
      <c r="S164" s="37">
        <f>N164*Q164</f>
        <v>0</v>
      </c>
      <c r="U164" s="8">
        <f>IF(OR($F$86&lt;80,$F$86=""),'4 Efterafgrøder'!$O$94,'4 Efterafgrøder'!$P$94)</f>
        <v>2400</v>
      </c>
      <c r="V164" s="8">
        <f>Q164*U164</f>
        <v>0</v>
      </c>
      <c r="W164" s="2">
        <f>IF($F$86&lt;80,17,27)</f>
        <v>17</v>
      </c>
      <c r="X164" s="8">
        <f>Q164*W164</f>
        <v>0</v>
      </c>
      <c r="Z164" s="2" t="s">
        <v>201</v>
      </c>
      <c r="AA164" s="46">
        <v>1</v>
      </c>
      <c r="AD164" s="50"/>
      <c r="AF164" s="37">
        <f>AA164*AD164</f>
        <v>0</v>
      </c>
      <c r="AH164" s="8">
        <f>IF(OR($F$86&lt;80,$F$86=""),'4 Efterafgrøder'!$O$94,'4 Efterafgrøder'!$P$94)</f>
        <v>2400</v>
      </c>
      <c r="AI164" s="8">
        <f>AD164*AH164</f>
        <v>0</v>
      </c>
      <c r="AJ164" s="2">
        <f>IF($F$86&lt;80,17,27)</f>
        <v>17</v>
      </c>
      <c r="AK164" s="8">
        <f>AD164*AJ164</f>
        <v>0</v>
      </c>
    </row>
    <row r="165" spans="2:37" ht="5" customHeight="1" x14ac:dyDescent="0.25">
      <c r="X165" s="8"/>
      <c r="AK165" s="8"/>
    </row>
    <row r="166" spans="2:37" x14ac:dyDescent="0.25">
      <c r="B166" s="2" t="s">
        <v>210</v>
      </c>
      <c r="C166" s="46">
        <v>1</v>
      </c>
      <c r="F166" s="50"/>
      <c r="H166" s="37">
        <f>C166*F166</f>
        <v>0</v>
      </c>
      <c r="J166" s="8">
        <f>IF(OR($F$86&lt;80,$F$86=""),'8 Brak'!$W$19,'8 Brak'!$X$19)</f>
        <v>5133</v>
      </c>
      <c r="K166" s="8">
        <f>F166*J166</f>
        <v>0</v>
      </c>
      <c r="M166" s="2" t="s">
        <v>202</v>
      </c>
      <c r="N166" s="46">
        <v>1</v>
      </c>
      <c r="Q166" s="50"/>
      <c r="S166" s="37">
        <f>N166*Q166</f>
        <v>0</v>
      </c>
      <c r="U166" s="8">
        <f>IF(OR($F$86&lt;80,$F$86=""),'4 Efterafgrøder'!$M$94,'4 Efterafgrøder'!$N$94)</f>
        <v>1440</v>
      </c>
      <c r="V166" s="8">
        <f>Q166*U166</f>
        <v>0</v>
      </c>
      <c r="W166" s="2">
        <f>IF($F$86&lt;80,30,48)</f>
        <v>30</v>
      </c>
      <c r="X166" s="8">
        <f>Q166*W166</f>
        <v>0</v>
      </c>
      <c r="Z166" s="2" t="s">
        <v>202</v>
      </c>
      <c r="AA166" s="46">
        <v>1</v>
      </c>
      <c r="AD166" s="50"/>
      <c r="AF166" s="37">
        <f>AA166*AD166</f>
        <v>0</v>
      </c>
      <c r="AH166" s="8">
        <f>IF(OR($F$86&lt;80,$F$86=""),'4 Efterafgrøder'!$M$94,'4 Efterafgrøder'!$N$94)</f>
        <v>1440</v>
      </c>
      <c r="AI166" s="8">
        <f>AD166*AH166</f>
        <v>0</v>
      </c>
      <c r="AJ166" s="2">
        <f>IF($F$86&lt;80,30,48)</f>
        <v>30</v>
      </c>
      <c r="AK166" s="8">
        <f>AD166*AJ166</f>
        <v>0</v>
      </c>
    </row>
    <row r="167" spans="2:37" ht="5" customHeight="1" x14ac:dyDescent="0.25">
      <c r="X167" s="8"/>
      <c r="AK167" s="8"/>
    </row>
    <row r="168" spans="2:37" x14ac:dyDescent="0.25">
      <c r="B168" s="2" t="s">
        <v>211</v>
      </c>
      <c r="C168" s="46">
        <v>1</v>
      </c>
      <c r="F168" s="50"/>
      <c r="H168" s="37">
        <f>C168*F168</f>
        <v>0</v>
      </c>
      <c r="J168" s="8">
        <f>IF(OR($F$86&lt;80,$F$86=""),'8 Brak'!$Y$19,'8 Brak'!$Z$19)</f>
        <v>7178</v>
      </c>
      <c r="K168" s="8">
        <f>F168*J168</f>
        <v>0</v>
      </c>
      <c r="M168" s="2" t="s">
        <v>203</v>
      </c>
      <c r="N168" s="46">
        <v>1</v>
      </c>
      <c r="Q168" s="50"/>
      <c r="S168" s="37">
        <f>N168*Q168</f>
        <v>0</v>
      </c>
      <c r="U168" s="8">
        <f>IF(OR($F$86&lt;80,$F$86=""),'4 Efterafgrøder'!$O$94,'4 Efterafgrøder'!$P$94)</f>
        <v>2400</v>
      </c>
      <c r="V168" s="8">
        <f>Q168*U168</f>
        <v>0</v>
      </c>
      <c r="W168" s="2">
        <f>IF($F$86&lt;80,30,48)</f>
        <v>30</v>
      </c>
      <c r="X168" s="8">
        <f>Q168*W168</f>
        <v>0</v>
      </c>
      <c r="Z168" s="2" t="s">
        <v>203</v>
      </c>
      <c r="AA168" s="46">
        <v>1</v>
      </c>
      <c r="AD168" s="50"/>
      <c r="AF168" s="37">
        <f>AA168*AD168</f>
        <v>0</v>
      </c>
      <c r="AH168" s="8">
        <f>IF(OR($F$86&lt;80,$F$86=""),'4 Efterafgrøder'!$O$94,'4 Efterafgrøder'!$P$94)</f>
        <v>2400</v>
      </c>
      <c r="AI168" s="8">
        <f>AD168*AH168</f>
        <v>0</v>
      </c>
      <c r="AJ168" s="2">
        <f>IF($F$86&lt;80,30,48)</f>
        <v>30</v>
      </c>
      <c r="AK168" s="8">
        <f>AD168*AJ168</f>
        <v>0</v>
      </c>
    </row>
    <row r="169" spans="2:37" ht="5" customHeight="1" x14ac:dyDescent="0.25">
      <c r="N169" s="46"/>
      <c r="Q169" s="38"/>
      <c r="X169" s="8"/>
      <c r="AA169" s="46"/>
      <c r="AD169" s="38"/>
      <c r="AK169" s="8"/>
    </row>
    <row r="170" spans="2:37" x14ac:dyDescent="0.25">
      <c r="B170" s="2" t="s">
        <v>212</v>
      </c>
      <c r="C170" s="46">
        <v>1</v>
      </c>
      <c r="F170" s="50"/>
      <c r="H170" s="37">
        <f>C170*F170</f>
        <v>0</v>
      </c>
      <c r="J170" s="8">
        <f>IF(OR($F$86&lt;80,$F$86=""),'8 Brak'!$AA$19,'8 Brak'!$AB$19)</f>
        <v>7592</v>
      </c>
      <c r="K170" s="8">
        <f>F170*J170</f>
        <v>0</v>
      </c>
      <c r="M170" s="2" t="s">
        <v>202</v>
      </c>
      <c r="N170" s="46">
        <v>1</v>
      </c>
      <c r="Q170" s="50"/>
      <c r="S170" s="37">
        <f>N170*Q170</f>
        <v>0</v>
      </c>
      <c r="U170" s="8">
        <f>IF(OR($F$86&lt;80,$F$86=""),'4 Efterafgrøder'!$M$94,'4 Efterafgrøder'!$N$94)</f>
        <v>1440</v>
      </c>
      <c r="V170" s="8">
        <f>Q170*U170</f>
        <v>0</v>
      </c>
      <c r="W170" s="2">
        <f>IF($F$86&lt;80,45,72)</f>
        <v>45</v>
      </c>
      <c r="X170" s="8">
        <f>Q170*W170</f>
        <v>0</v>
      </c>
      <c r="Z170" s="2" t="s">
        <v>202</v>
      </c>
      <c r="AA170" s="46">
        <v>1</v>
      </c>
      <c r="AD170" s="50"/>
      <c r="AF170" s="37">
        <f>AA170*AD170</f>
        <v>0</v>
      </c>
      <c r="AH170" s="8">
        <f>IF(OR($F$86&lt;80,$F$86=""),'4 Efterafgrøder'!$M$94,'4 Efterafgrøder'!$N$94)</f>
        <v>1440</v>
      </c>
      <c r="AI170" s="8">
        <f>AD170*AH170</f>
        <v>0</v>
      </c>
      <c r="AJ170" s="2">
        <f>IF($F$86&lt;80,45,72)</f>
        <v>45</v>
      </c>
      <c r="AK170" s="8">
        <f>AD170*AJ170</f>
        <v>0</v>
      </c>
    </row>
    <row r="171" spans="2:37" ht="5" customHeight="1" x14ac:dyDescent="0.25">
      <c r="X171" s="8"/>
      <c r="AK171" s="8"/>
    </row>
    <row r="172" spans="2:37" x14ac:dyDescent="0.25">
      <c r="C172" s="11" t="s">
        <v>62</v>
      </c>
      <c r="D172" s="11"/>
      <c r="E172" s="11"/>
      <c r="F172" s="11" t="s">
        <v>218</v>
      </c>
      <c r="G172" s="11"/>
      <c r="H172" s="11" t="s">
        <v>63</v>
      </c>
      <c r="J172" s="11" t="s">
        <v>17</v>
      </c>
      <c r="K172" s="11" t="s">
        <v>224</v>
      </c>
      <c r="M172" s="2" t="s">
        <v>203</v>
      </c>
      <c r="N172" s="46">
        <v>1</v>
      </c>
      <c r="Q172" s="50"/>
      <c r="S172" s="37">
        <f>N172*Q172</f>
        <v>0</v>
      </c>
      <c r="U172" s="8">
        <f>IF(OR($F$86&lt;80,$F$86=""),'4 Efterafgrøder'!$O$94,'4 Efterafgrøder'!$P$94)</f>
        <v>2400</v>
      </c>
      <c r="V172" s="8">
        <f>Q172*U172</f>
        <v>0</v>
      </c>
      <c r="W172" s="2">
        <f>IF($F$86&lt;80,45,72)</f>
        <v>45</v>
      </c>
      <c r="X172" s="8">
        <f>Q172*W172</f>
        <v>0</v>
      </c>
      <c r="Z172" s="2" t="s">
        <v>203</v>
      </c>
      <c r="AA172" s="46">
        <v>1</v>
      </c>
      <c r="AD172" s="50"/>
      <c r="AF172" s="37">
        <f>AA172*AD172</f>
        <v>0</v>
      </c>
      <c r="AH172" s="8">
        <f>IF(OR($F$86&lt;80,$F$86=""),'4 Efterafgrøder'!$O$94,'4 Efterafgrøder'!$P$94)</f>
        <v>2400</v>
      </c>
      <c r="AI172" s="8">
        <f>AD172*AH172</f>
        <v>0</v>
      </c>
      <c r="AJ172" s="2">
        <f>IF($F$86&lt;80,45,72)</f>
        <v>45</v>
      </c>
      <c r="AK172" s="8">
        <f>AD172*AJ172</f>
        <v>0</v>
      </c>
    </row>
    <row r="173" spans="2:37" ht="5" customHeight="1" x14ac:dyDescent="0.25"/>
    <row r="174" spans="2:37" x14ac:dyDescent="0.25">
      <c r="B174" s="2" t="s">
        <v>216</v>
      </c>
      <c r="C174" s="4" t="str">
        <f>_xlfn.CONCAT(IF(OR($F$86="",$F$86&lt;80),93,150)," N")</f>
        <v>93 N</v>
      </c>
      <c r="F174" s="8">
        <f>IF(C174="150 N",H174*150,H174*93)</f>
        <v>0</v>
      </c>
      <c r="H174" s="37">
        <f>IF(($F$108+$F$110-H134-H136-H138-H140-H142-H144-H146-H148-H150-H152-H154-H156-H158-H160-H162-H164-H166-H168-H170)&lt;0,0,($F$108+$F$110-H134-H136-H138-H140-H142-H144-H146-H148-H150-H152-H154-H156-H158-H160-H162-H164-H166-H168-H170))</f>
        <v>0</v>
      </c>
      <c r="M174" s="2" t="s">
        <v>67</v>
      </c>
      <c r="N174" s="46">
        <v>0.5</v>
      </c>
      <c r="Q174" s="50"/>
      <c r="S174" s="37">
        <f>N174*Q174</f>
        <v>0</v>
      </c>
      <c r="U174" s="8">
        <f>IF(OR($F$86&lt;80,$F$86=""),'6 Tidlig såning'!$M$16,'6 Tidlig såning'!$N$16)</f>
        <v>0</v>
      </c>
      <c r="V174" s="8">
        <f>Q174*U174</f>
        <v>0</v>
      </c>
      <c r="Z174" s="2" t="s">
        <v>67</v>
      </c>
      <c r="AA174" s="46">
        <v>0.5</v>
      </c>
      <c r="AD174" s="50"/>
      <c r="AF174" s="37">
        <f>AA174*AD174</f>
        <v>0</v>
      </c>
      <c r="AH174" s="8">
        <f>IF(OR($F$86&lt;80,$F$86=""),'6 Tidlig såning'!$M$16,'6 Tidlig såning'!$N$16)</f>
        <v>0</v>
      </c>
      <c r="AI174" s="8">
        <f>AD174*AH174</f>
        <v>0</v>
      </c>
    </row>
    <row r="175" spans="2:37" ht="5" customHeight="1" x14ac:dyDescent="0.25"/>
    <row r="176" spans="2:37" x14ac:dyDescent="0.25">
      <c r="B176" s="2" t="s">
        <v>215</v>
      </c>
      <c r="F176" s="8">
        <f>IF(($C$90*0.05)&gt;F174,F174,$C$90*0.05)</f>
        <v>0</v>
      </c>
      <c r="H176" s="37">
        <f>F176/IF(OR($F$86="",$F$86&lt;80),93,150)</f>
        <v>0</v>
      </c>
      <c r="J176" s="8">
        <f>IF(AND(OrgGodn&lt;80,OrgGodn=""),IF(AND(Protkorn="Ja",Kornkøb="Ja"),'9 Kvotereduktion'!$I$34,IF(Protkorn="Ja",'9 Kvotereduktion'!$H$34,'9 Kvotereduktion'!$G$34)),IF(AND(Protkorn="Ja",Kornkøb="Ja"),'9 Kvotereduktion'!$M$34,IF(Protkorn="Ja",'9 Kvotereduktion'!$L$34,'9 Kvotereduktion'!$K$34)))</f>
        <v>0</v>
      </c>
      <c r="K176" s="8">
        <f>H176*J176</f>
        <v>0</v>
      </c>
      <c r="M176" s="2" t="s">
        <v>77</v>
      </c>
      <c r="N176" s="46">
        <v>0.5</v>
      </c>
      <c r="Q176" s="50"/>
      <c r="S176" s="37">
        <f>N176*Q176</f>
        <v>0</v>
      </c>
      <c r="U176" s="8">
        <f>IF(OR($F$86&lt;80,$F$86=""),'5 Mellemafgrøder'!$M$38,'5 Mellemafgrøder'!$N$38)</f>
        <v>0</v>
      </c>
      <c r="V176" s="8">
        <f>Q176*U176</f>
        <v>0</v>
      </c>
      <c r="Z176" s="2" t="s">
        <v>77</v>
      </c>
      <c r="AA176" s="46">
        <v>0.5</v>
      </c>
      <c r="AD176" s="50"/>
      <c r="AF176" s="37">
        <f>AA176*AD176</f>
        <v>0</v>
      </c>
      <c r="AH176" s="8">
        <f>IF(OR($F$86&lt;80,$F$86=""),'5 Mellemafgrøder'!$M$38,'5 Mellemafgrøder'!$N$38)</f>
        <v>0</v>
      </c>
      <c r="AI176" s="8">
        <f>AD176*AH176</f>
        <v>0</v>
      </c>
    </row>
    <row r="177" spans="2:35" ht="5" customHeight="1" x14ac:dyDescent="0.25"/>
    <row r="178" spans="2:35" x14ac:dyDescent="0.25">
      <c r="B178" s="2" t="s">
        <v>217</v>
      </c>
      <c r="F178" s="8">
        <f>IF(F174&lt;=F176,0,IF((F174-F176)&gt;$C$90*0.05,$C$90*0.05,F174-F176))</f>
        <v>0</v>
      </c>
      <c r="H178" s="37">
        <f>F178/IF(OR($F$86="",$F$86&lt;80),93,150)</f>
        <v>0</v>
      </c>
      <c r="I178" s="13"/>
      <c r="J178" s="8">
        <f>IF(AND(OrgGodn&lt;80,OrgGodn=""),IF(AND(Protkorn="Ja",Kornkøb="Ja"),'9 Kvotereduktion'!$I$35,IF(Protkorn="Ja",'9 Kvotereduktion'!$H$35,'9 Kvotereduktion'!$G$35)),IF(AND(Protkorn="Ja",Kornkøb="Ja"),'9 Kvotereduktion'!$M$35,IF(Protkorn="Ja",'9 Kvotereduktion'!$L$35,'9 Kvotereduktion'!$K$35)))</f>
        <v>0</v>
      </c>
      <c r="K178" s="8">
        <f>H178*J178</f>
        <v>0</v>
      </c>
      <c r="M178" s="2" t="s">
        <v>76</v>
      </c>
      <c r="N178" s="46">
        <v>0.5</v>
      </c>
      <c r="Q178" s="50"/>
      <c r="S178" s="37">
        <f>N178*Q178</f>
        <v>0</v>
      </c>
      <c r="U178" s="8">
        <f>IF(OR($F$86&lt;80,$F$86=""),'5 Mellemafgrøder'!$M$16,'5 Mellemafgrøder'!$N$16)</f>
        <v>450</v>
      </c>
      <c r="V178" s="8">
        <f>Q178*U178</f>
        <v>0</v>
      </c>
      <c r="Z178" s="2" t="s">
        <v>76</v>
      </c>
      <c r="AA178" s="46">
        <v>0.5</v>
      </c>
      <c r="AD178" s="50"/>
      <c r="AF178" s="37">
        <f>AA178*AD178</f>
        <v>0</v>
      </c>
      <c r="AH178" s="8">
        <f>IF(OR($F$86&lt;80,$F$86=""),'5 Mellemafgrøder'!$M$16,'5 Mellemafgrøder'!$N$16)</f>
        <v>450</v>
      </c>
      <c r="AI178" s="8">
        <f>AD178*AH178</f>
        <v>0</v>
      </c>
    </row>
    <row r="179" spans="2:35" ht="5" customHeight="1" x14ac:dyDescent="0.25">
      <c r="B179" s="13"/>
      <c r="C179" s="13"/>
      <c r="D179" s="13"/>
      <c r="E179" s="13"/>
      <c r="F179" s="13"/>
      <c r="G179" s="13"/>
      <c r="H179" s="13"/>
      <c r="I179" s="13"/>
      <c r="J179" s="13"/>
    </row>
    <row r="180" spans="2:35" x14ac:dyDescent="0.25">
      <c r="B180" s="13" t="s">
        <v>219</v>
      </c>
      <c r="C180" s="47"/>
      <c r="D180" s="13"/>
      <c r="E180" s="13"/>
      <c r="F180" s="8">
        <f>IF(F174&lt;=(F176+F178),0,IF((F174-F176-F178)&gt;$C$90*0.05,$C$90*0.05,F174-F176-F178))</f>
        <v>0</v>
      </c>
      <c r="H180" s="37">
        <f>F180/IF(OR($F$86="",$F$86&lt;80),93,150)</f>
        <v>0</v>
      </c>
      <c r="I180" s="13"/>
      <c r="J180" s="8">
        <f>IF(AND(OrgGodn&lt;80,OrgGodn=""),IF(AND(Protkorn="Ja",Kornkøb="Ja"),'9 Kvotereduktion'!$I$36,IF(Protkorn="Ja",'9 Kvotereduktion'!$H$36,'9 Kvotereduktion'!$G$36)),IF(AND(Protkorn="Ja",Kornkøb="Ja"),'9 Kvotereduktion'!$M$36,IF(Protkorn="Ja",'9 Kvotereduktion'!$L$36,'9 Kvotereduktion'!$K$36)))</f>
        <v>0</v>
      </c>
      <c r="K180" s="8">
        <f>H180*J180</f>
        <v>0</v>
      </c>
      <c r="M180" s="2" t="s">
        <v>205</v>
      </c>
      <c r="N180" s="46">
        <v>4</v>
      </c>
      <c r="Q180" s="50"/>
      <c r="S180" s="37">
        <f>N180*Q180</f>
        <v>0</v>
      </c>
      <c r="U180" s="8">
        <f>IF(OR($F$86&lt;80,$F$86=""),'7 Brak v vandløb'!$U$17,'7 Brak v vandløb'!$V$17)</f>
        <v>3831</v>
      </c>
      <c r="V180" s="8">
        <f>Q180*U180</f>
        <v>0</v>
      </c>
      <c r="Z180" s="2" t="s">
        <v>205</v>
      </c>
      <c r="AA180" s="46">
        <v>4</v>
      </c>
      <c r="AD180" s="50"/>
      <c r="AF180" s="37">
        <f>AA180*AD180</f>
        <v>0</v>
      </c>
      <c r="AH180" s="8">
        <f>IF(OR($F$86&lt;80,$F$86=""),'7 Brak v vandløb'!$U$17,'7 Brak v vandløb'!$V$17)</f>
        <v>3831</v>
      </c>
      <c r="AI180" s="8">
        <f>AD180*AH180</f>
        <v>0</v>
      </c>
    </row>
    <row r="181" spans="2:35" ht="5" customHeight="1" x14ac:dyDescent="0.25">
      <c r="B181" s="13"/>
      <c r="C181" s="13"/>
      <c r="D181" s="13"/>
      <c r="E181" s="13"/>
      <c r="F181" s="13"/>
      <c r="G181" s="13"/>
      <c r="H181" s="13"/>
      <c r="I181" s="13"/>
      <c r="J181" s="13"/>
    </row>
    <row r="182" spans="2:35" x14ac:dyDescent="0.25">
      <c r="B182" s="12" t="s">
        <v>235</v>
      </c>
      <c r="C182" s="47"/>
      <c r="D182" s="13"/>
      <c r="E182" s="13"/>
      <c r="F182" s="38"/>
      <c r="G182" s="13"/>
      <c r="H182" s="38"/>
      <c r="I182" s="13"/>
      <c r="J182" s="13"/>
      <c r="K182" s="9">
        <f>K134+K136+K138+K140+K142+K144+K146+K148+K150+K152+K154+K156+K158+K160+K162+K164+K166+K168+K170+K176+K178+K180</f>
        <v>0</v>
      </c>
      <c r="M182" s="2" t="s">
        <v>206</v>
      </c>
      <c r="N182" s="46">
        <v>4</v>
      </c>
      <c r="Q182" s="50"/>
      <c r="S182" s="37">
        <f>N182*Q182</f>
        <v>0</v>
      </c>
      <c r="U182" s="8">
        <f>IF(OR($F$86&lt;80,$F$86=""),'7 Brak v vandløb'!$W$17,'7 Brak v vandløb'!$X$17)</f>
        <v>5133</v>
      </c>
      <c r="V182" s="8">
        <f>Q182*U182</f>
        <v>0</v>
      </c>
      <c r="Z182" s="2" t="s">
        <v>206</v>
      </c>
      <c r="AA182" s="46">
        <v>4</v>
      </c>
      <c r="AD182" s="50"/>
      <c r="AF182" s="37">
        <f>AA182*AD182</f>
        <v>0</v>
      </c>
      <c r="AH182" s="8">
        <f>IF(OR($F$86&lt;80,$F$86=""),'7 Brak v vandløb'!$W$17,'7 Brak v vandløb'!$X$17)</f>
        <v>5133</v>
      </c>
      <c r="AI182" s="8">
        <f>AD182*AH182</f>
        <v>0</v>
      </c>
    </row>
    <row r="183" spans="2:35" ht="5" customHeight="1" x14ac:dyDescent="0.25">
      <c r="B183" s="13"/>
      <c r="C183" s="13"/>
      <c r="D183" s="13"/>
      <c r="E183" s="13"/>
      <c r="F183" s="13"/>
      <c r="G183" s="13"/>
      <c r="H183" s="13"/>
      <c r="I183" s="13"/>
      <c r="J183" s="13"/>
    </row>
    <row r="184" spans="2:35" x14ac:dyDescent="0.25">
      <c r="B184" s="13"/>
      <c r="C184" s="47"/>
      <c r="D184" s="13"/>
      <c r="E184" s="13"/>
      <c r="F184" s="38"/>
      <c r="G184" s="13"/>
      <c r="H184" s="38"/>
      <c r="I184" s="13"/>
      <c r="J184" s="13"/>
      <c r="M184" s="2" t="s">
        <v>207</v>
      </c>
      <c r="N184" s="46">
        <v>4</v>
      </c>
      <c r="Q184" s="50"/>
      <c r="S184" s="37">
        <f>N184*Q184</f>
        <v>0</v>
      </c>
      <c r="U184" s="8">
        <f>IF(OR($F$86&lt;80,$F$86=""),'7 Brak v vandløb'!$Y$17,'7 Brak v vandløb'!$Z$17)</f>
        <v>7178</v>
      </c>
      <c r="V184" s="8">
        <f>Q184*U184</f>
        <v>0</v>
      </c>
      <c r="Z184" s="2" t="s">
        <v>207</v>
      </c>
      <c r="AA184" s="46">
        <v>4</v>
      </c>
      <c r="AD184" s="50"/>
      <c r="AF184" s="37">
        <f>AA184*AD184</f>
        <v>0</v>
      </c>
      <c r="AH184" s="8">
        <f>IF(OR($F$86&lt;80,$F$86=""),'7 Brak v vandløb'!$Y$17,'7 Brak v vandløb'!$Z$17)</f>
        <v>7178</v>
      </c>
      <c r="AI184" s="8">
        <f>AD184*AH184</f>
        <v>0</v>
      </c>
    </row>
    <row r="185" spans="2:35" ht="5" customHeight="1" x14ac:dyDescent="0.25">
      <c r="B185" s="13"/>
      <c r="C185" s="13"/>
      <c r="D185" s="13"/>
      <c r="E185" s="13"/>
      <c r="F185" s="13"/>
      <c r="G185" s="13"/>
      <c r="H185" s="13"/>
      <c r="I185" s="13"/>
      <c r="J185" s="13"/>
    </row>
    <row r="186" spans="2:35" x14ac:dyDescent="0.25">
      <c r="B186" s="13"/>
      <c r="C186" s="47"/>
      <c r="D186" s="13"/>
      <c r="E186" s="13"/>
      <c r="F186" s="38"/>
      <c r="G186" s="13"/>
      <c r="H186" s="38"/>
      <c r="I186" s="13"/>
      <c r="J186" s="13"/>
      <c r="M186" s="2" t="s">
        <v>208</v>
      </c>
      <c r="N186" s="46">
        <v>4</v>
      </c>
      <c r="Q186" s="50"/>
      <c r="S186" s="37">
        <f>N186*Q186</f>
        <v>0</v>
      </c>
      <c r="U186" s="8">
        <f>IF(OR($F$86&lt;80,$F$86=""),'7 Brak v vandløb'!$AA$17,'7 Brak v vandløb'!$AB$17)</f>
        <v>7592</v>
      </c>
      <c r="V186" s="8">
        <f>Q186*U186</f>
        <v>0</v>
      </c>
      <c r="Z186" s="2" t="s">
        <v>208</v>
      </c>
      <c r="AA186" s="46">
        <v>4</v>
      </c>
      <c r="AD186" s="50"/>
      <c r="AF186" s="37">
        <f>AA186*AD186</f>
        <v>0</v>
      </c>
      <c r="AH186" s="8">
        <f>IF(OR($F$86&lt;80,$F$86=""),'7 Brak v vandløb'!$AA$17,'7 Brak v vandløb'!$AB$17)</f>
        <v>7592</v>
      </c>
      <c r="AI186" s="8">
        <f>AD186*AH186</f>
        <v>0</v>
      </c>
    </row>
    <row r="187" spans="2:35" ht="5" customHeight="1" x14ac:dyDescent="0.25">
      <c r="B187" s="13"/>
      <c r="C187" s="13"/>
      <c r="D187" s="13"/>
      <c r="E187" s="13"/>
      <c r="F187" s="13"/>
      <c r="G187" s="13"/>
      <c r="H187" s="13"/>
      <c r="I187" s="13"/>
      <c r="J187" s="13"/>
    </row>
    <row r="188" spans="2:35" x14ac:dyDescent="0.25">
      <c r="B188" s="13"/>
      <c r="C188" s="47"/>
      <c r="D188" s="13"/>
      <c r="E188" s="13"/>
      <c r="F188" s="38"/>
      <c r="G188" s="13"/>
      <c r="H188" s="38"/>
      <c r="I188" s="13"/>
      <c r="J188" s="13"/>
      <c r="M188" s="2" t="s">
        <v>209</v>
      </c>
      <c r="N188" s="46">
        <v>1</v>
      </c>
      <c r="Q188" s="50"/>
      <c r="S188" s="37">
        <f>N188*Q188</f>
        <v>0</v>
      </c>
      <c r="U188" s="8">
        <f>IF(OR($F$86&lt;80,$F$86=""),'8 Brak'!$U$19,'8 Brak'!$V$19)</f>
        <v>3831</v>
      </c>
      <c r="V188" s="8">
        <f>Q188*U188</f>
        <v>0</v>
      </c>
      <c r="Z188" s="2" t="s">
        <v>209</v>
      </c>
      <c r="AA188" s="46">
        <v>1</v>
      </c>
      <c r="AD188" s="50"/>
      <c r="AF188" s="37">
        <f>AA188*AD188</f>
        <v>0</v>
      </c>
      <c r="AH188" s="8">
        <f>IF(OR($F$86&lt;80,$F$86=""),'8 Brak'!$U$19,'8 Brak'!$V$19)</f>
        <v>3831</v>
      </c>
      <c r="AI188" s="8">
        <f>AD188*AH188</f>
        <v>0</v>
      </c>
    </row>
    <row r="189" spans="2:35" ht="5" customHeight="1" x14ac:dyDescent="0.25">
      <c r="B189" s="13"/>
      <c r="C189" s="13"/>
      <c r="D189" s="13"/>
      <c r="E189" s="13"/>
      <c r="F189" s="13"/>
      <c r="G189" s="13"/>
      <c r="H189" s="13"/>
      <c r="I189" s="13"/>
      <c r="J189" s="13"/>
    </row>
    <row r="190" spans="2:35" x14ac:dyDescent="0.25">
      <c r="B190" s="13"/>
      <c r="C190" s="48"/>
      <c r="D190" s="13"/>
      <c r="E190" s="13"/>
      <c r="F190" s="38"/>
      <c r="G190" s="13"/>
      <c r="H190" s="38"/>
      <c r="I190" s="13"/>
      <c r="J190" s="13"/>
      <c r="M190" s="2" t="s">
        <v>210</v>
      </c>
      <c r="N190" s="46">
        <v>1</v>
      </c>
      <c r="Q190" s="50"/>
      <c r="S190" s="37">
        <f>N190*Q190</f>
        <v>0</v>
      </c>
      <c r="U190" s="8">
        <f>IF(OR($F$86&lt;80,$F$86=""),'8 Brak'!$W$19,'8 Brak'!$X$19)</f>
        <v>5133</v>
      </c>
      <c r="V190" s="8">
        <f>Q190*U190</f>
        <v>0</v>
      </c>
      <c r="Z190" s="2" t="s">
        <v>210</v>
      </c>
      <c r="AA190" s="46">
        <v>1</v>
      </c>
      <c r="AD190" s="50"/>
      <c r="AF190" s="37">
        <f>AA190*AD190</f>
        <v>0</v>
      </c>
      <c r="AH190" s="8">
        <f>IF(OR($F$86&lt;80,$F$86=""),'8 Brak'!$W$19,'8 Brak'!$X$19)</f>
        <v>5133</v>
      </c>
      <c r="AI190" s="8">
        <f>AD190*AH190</f>
        <v>0</v>
      </c>
    </row>
    <row r="191" spans="2:35" ht="5" customHeight="1" x14ac:dyDescent="0.25">
      <c r="B191" s="13"/>
      <c r="C191" s="13"/>
      <c r="D191" s="13"/>
      <c r="E191" s="13"/>
      <c r="F191" s="13"/>
      <c r="G191" s="13"/>
      <c r="H191" s="13"/>
      <c r="I191" s="13"/>
      <c r="J191" s="13"/>
    </row>
    <row r="192" spans="2:35" x14ac:dyDescent="0.25">
      <c r="B192" s="13"/>
      <c r="C192" s="47"/>
      <c r="D192" s="13"/>
      <c r="E192" s="13"/>
      <c r="F192" s="38"/>
      <c r="G192" s="13"/>
      <c r="H192" s="38"/>
      <c r="I192" s="13"/>
      <c r="J192" s="13"/>
      <c r="M192" s="2" t="s">
        <v>211</v>
      </c>
      <c r="N192" s="46">
        <v>1</v>
      </c>
      <c r="Q192" s="50"/>
      <c r="S192" s="37">
        <f>N192*Q192</f>
        <v>0</v>
      </c>
      <c r="U192" s="8">
        <f>IF(OR($F$86&lt;80,$F$86=""),'8 Brak'!$Y$19,'8 Brak'!$Z$19)</f>
        <v>7178</v>
      </c>
      <c r="V192" s="8">
        <f>Q192*U192</f>
        <v>0</v>
      </c>
      <c r="Z192" s="2" t="s">
        <v>211</v>
      </c>
      <c r="AA192" s="46">
        <v>1</v>
      </c>
      <c r="AD192" s="50"/>
      <c r="AF192" s="37">
        <f>AA192*AD192</f>
        <v>0</v>
      </c>
      <c r="AH192" s="8">
        <f>IF(OR($F$86&lt;80,$F$86=""),'8 Brak'!$Y$19,'8 Brak'!$Z$19)</f>
        <v>7178</v>
      </c>
      <c r="AI192" s="8">
        <f>AD192*AH192</f>
        <v>0</v>
      </c>
    </row>
    <row r="193" spans="2:37" ht="5" customHeight="1" x14ac:dyDescent="0.25"/>
    <row r="194" spans="2:37" x14ac:dyDescent="0.25">
      <c r="M194" s="2" t="s">
        <v>212</v>
      </c>
      <c r="N194" s="46">
        <v>1</v>
      </c>
      <c r="Q194" s="50"/>
      <c r="S194" s="37">
        <f>N194*Q194</f>
        <v>0</v>
      </c>
      <c r="U194" s="8">
        <f>IF(OR($F$86&lt;80,$F$86=""),'8 Brak'!$AA$19,'8 Brak'!$AB$19)</f>
        <v>7592</v>
      </c>
      <c r="V194" s="8">
        <f>Q194*U194</f>
        <v>0</v>
      </c>
      <c r="Z194" s="2" t="s">
        <v>212</v>
      </c>
      <c r="AA194" s="46">
        <v>1</v>
      </c>
      <c r="AD194" s="50"/>
      <c r="AF194" s="37">
        <f>AA194*AD194</f>
        <v>0</v>
      </c>
      <c r="AH194" s="8">
        <f>IF(OR($F$86&lt;80,$F$86=""),'8 Brak'!$AA$19,'8 Brak'!$AB$19)</f>
        <v>7592</v>
      </c>
      <c r="AI194" s="8">
        <f>AD194*AH194</f>
        <v>0</v>
      </c>
    </row>
    <row r="195" spans="2:37" ht="5" customHeight="1" x14ac:dyDescent="0.25">
      <c r="C195" s="4"/>
      <c r="F195" s="8"/>
      <c r="H195" s="37"/>
      <c r="N195" s="46"/>
      <c r="Q195" s="38"/>
      <c r="S195" s="37"/>
      <c r="U195" s="8"/>
      <c r="V195" s="8"/>
    </row>
    <row r="196" spans="2:37" x14ac:dyDescent="0.25">
      <c r="C196" s="4"/>
      <c r="F196" s="8"/>
      <c r="H196" s="37"/>
      <c r="N196" s="11" t="s">
        <v>62</v>
      </c>
      <c r="O196" s="11"/>
      <c r="P196" s="11"/>
      <c r="Q196" s="11" t="s">
        <v>218</v>
      </c>
      <c r="R196" s="11"/>
      <c r="S196" s="11" t="s">
        <v>63</v>
      </c>
      <c r="U196" s="11" t="s">
        <v>17</v>
      </c>
      <c r="V196" s="11" t="s">
        <v>224</v>
      </c>
      <c r="X196" s="11" t="s">
        <v>227</v>
      </c>
      <c r="AA196" s="11" t="s">
        <v>62</v>
      </c>
      <c r="AB196" s="11"/>
      <c r="AC196" s="11"/>
      <c r="AD196" s="11" t="s">
        <v>218</v>
      </c>
      <c r="AE196" s="11"/>
      <c r="AF196" s="11" t="s">
        <v>63</v>
      </c>
      <c r="AH196" s="11" t="s">
        <v>17</v>
      </c>
      <c r="AI196" s="11" t="s">
        <v>224</v>
      </c>
      <c r="AK196" s="11" t="s">
        <v>227</v>
      </c>
    </row>
    <row r="197" spans="2:37" ht="5" customHeight="1" x14ac:dyDescent="0.25">
      <c r="C197" s="4"/>
      <c r="F197" s="8"/>
      <c r="H197" s="37"/>
    </row>
    <row r="198" spans="2:37" x14ac:dyDescent="0.25">
      <c r="C198" s="4"/>
      <c r="F198" s="8"/>
      <c r="H198" s="37"/>
      <c r="M198" s="2" t="s">
        <v>216</v>
      </c>
      <c r="N198" s="4" t="str">
        <f>_xlfn.CONCAT(IF(OR($F$86="",$F$86&lt;80),93,150)," N")</f>
        <v>93 N</v>
      </c>
      <c r="Q198" s="8">
        <f>IF(N198="150 N",S198*150,S198*93)+X198</f>
        <v>0</v>
      </c>
      <c r="S198" s="37">
        <f>IF(($F$108+$F$110-S134-S136-S138-S140-S142-S144-S146-S148-S150-S152-S154-S156-S158-S160-S162-S164-S166-S168-S170-S172-S174-S176-S178-S180-S182-S184-S186-S188-S190-S192-S194)&lt;0,0,($F$108+$F$110-S134-S136-S138-S140-S142-S144-S146-S148-S150-S152-S154-S156-S158-S160-S162-S164-S166-S168-S170-S172-S174-S176-S178-S180-S182-S184-S186-S188-S190-S192-S194))</f>
        <v>0</v>
      </c>
      <c r="X198" s="8">
        <f>X142+X144+X146+X148+X150+X152+X162+X164+X166+X168+X170+X172</f>
        <v>0</v>
      </c>
      <c r="Z198" s="2" t="s">
        <v>216</v>
      </c>
      <c r="AA198" s="4" t="str">
        <f>_xlfn.CONCAT(IF(OR($F$86="",$F$86&lt;80),93,150)," N")</f>
        <v>93 N</v>
      </c>
      <c r="AD198" s="8">
        <f>IF(AA198="150 N",AF198*150,AF198*93)+AK198</f>
        <v>0</v>
      </c>
      <c r="AF198" s="37">
        <f>IF(($F$108+$F$110-AF134-AF136-AF138-AF140-AF142-AF144-AF146-AF148-AF150-AF152-AF154-AF156-AF158-AF160-AF162-AF164-AF166-AF168-AF170-AF172-AF174-AF176-AF178-AF180-AF182-AF184-AF186-AF188-AF190-AF192-AF194)&lt;0,0,($F$108+$F$110-AF134-AF136-AF138-AF140-AF142-AF144-AF146-AF148-AF150-AF152-AF154-AF156-AF158-AF160-AF162-AF164-AF166-AF168-AF170-AF172-AF174-AF176-AF178-AF180-AF182-AF184-AF186-AF188-AF190-AF192-AF194))</f>
        <v>0</v>
      </c>
      <c r="AK198" s="8">
        <f>AK142+AK144+AK146+AK148+AK150+AK152+AK162+AK164+AK166+AK168+AK170+AK172</f>
        <v>0</v>
      </c>
    </row>
    <row r="199" spans="2:37" ht="5" customHeight="1" x14ac:dyDescent="0.25">
      <c r="C199" s="4"/>
      <c r="F199" s="8"/>
      <c r="H199" s="37"/>
    </row>
    <row r="200" spans="2:37" x14ac:dyDescent="0.25">
      <c r="C200" s="4"/>
      <c r="F200" s="8"/>
      <c r="H200" s="37"/>
      <c r="M200" s="2" t="s">
        <v>215</v>
      </c>
      <c r="Q200" s="8">
        <f>IF(($C$90*0.05)&gt;Q198,Q198,$C$90*0.05)</f>
        <v>0</v>
      </c>
      <c r="S200" s="37">
        <f>Q200/IF(OR($F$86="",$F$86&lt;80),93,150)</f>
        <v>0</v>
      </c>
      <c r="U200" s="8">
        <f>IF(AND(OrgGodn&lt;80,OrgGodn=""),IF(AND(Protkorn="Ja",Kornkøb="Ja"),'9 Kvotereduktion'!$I$34,IF(Protkorn="Ja",'9 Kvotereduktion'!$H$34,'9 Kvotereduktion'!$G$34)),IF(AND(Protkorn="Ja",Kornkøb="Ja"),'9 Kvotereduktion'!$M$34,IF(Protkorn="Ja",'9 Kvotereduktion'!$L$34,'9 Kvotereduktion'!$K$34)))</f>
        <v>0</v>
      </c>
      <c r="V200" s="8">
        <f>S200*U200</f>
        <v>0</v>
      </c>
      <c r="Z200" s="2" t="s">
        <v>215</v>
      </c>
      <c r="AD200" s="8">
        <f>IF(($C$90*0.05)&gt;AD198,AD198,$C$90*0.05)</f>
        <v>0</v>
      </c>
      <c r="AF200" s="37">
        <f>AD200/IF(OR($F$86="",$F$86&lt;80),93,150)</f>
        <v>0</v>
      </c>
      <c r="AH200" s="8">
        <f>IF(AND(OrgGodn&lt;80,OrgGodn=""),IF(AND(Protkorn="Ja",Kornkøb="Ja"),'9 Kvotereduktion'!$I$34,IF(Protkorn="Ja",'9 Kvotereduktion'!$H$34,'9 Kvotereduktion'!$G$34)),IF(AND(Protkorn="Ja",Kornkøb="Ja"),'9 Kvotereduktion'!$M$34,IF(Protkorn="Ja",'9 Kvotereduktion'!$L$34,'9 Kvotereduktion'!$K$34)))</f>
        <v>0</v>
      </c>
      <c r="AI200" s="8">
        <f>AF200*AH200</f>
        <v>0</v>
      </c>
    </row>
    <row r="201" spans="2:37" ht="5" customHeight="1" x14ac:dyDescent="0.25">
      <c r="C201" s="4"/>
      <c r="F201" s="8"/>
      <c r="H201" s="37"/>
    </row>
    <row r="202" spans="2:37" x14ac:dyDescent="0.25">
      <c r="C202" s="4"/>
      <c r="F202" s="8"/>
      <c r="H202" s="37"/>
      <c r="M202" s="2" t="s">
        <v>217</v>
      </c>
      <c r="Q202" s="8">
        <f>IF(Q198&lt;=Q200,0,IF((Q198-Q200)&gt;$C$90*0.05,$C$90*0.05,Q198-Q200))</f>
        <v>0</v>
      </c>
      <c r="S202" s="37">
        <f>Q202/IF(OR($F$86="",$F$86&lt;80),93,150)</f>
        <v>0</v>
      </c>
      <c r="T202" s="13"/>
      <c r="U202" s="8">
        <f>IF(AND(OrgGodn&lt;80,OrgGodn=""),IF(AND(Protkorn="Ja",Kornkøb="Ja"),'9 Kvotereduktion'!$I$35,IF(Protkorn="Ja",'9 Kvotereduktion'!$H$35,'9 Kvotereduktion'!$G$35)),IF(AND(Protkorn="Ja",Kornkøb="Ja"),'9 Kvotereduktion'!$M$35,IF(Protkorn="Ja",'9 Kvotereduktion'!$L$35,'9 Kvotereduktion'!$K$35)))</f>
        <v>0</v>
      </c>
      <c r="V202" s="8">
        <f>S202*U202</f>
        <v>0</v>
      </c>
      <c r="Z202" s="2" t="s">
        <v>217</v>
      </c>
      <c r="AD202" s="8">
        <f>IF(AD198&lt;=AD200,0,IF((AD198-AD200)&gt;$C$90*0.05,$C$90*0.05,AD198-AD200))</f>
        <v>0</v>
      </c>
      <c r="AF202" s="37">
        <f>AD202/IF(OR($F$86="",$F$86&lt;80),93,150)</f>
        <v>0</v>
      </c>
      <c r="AG202" s="13"/>
      <c r="AH202" s="8">
        <f>IF(AND(OrgGodn&lt;80,OrgGodn=""),IF(AND(Protkorn="Ja",Kornkøb="Ja"),'9 Kvotereduktion'!$I$35,IF(Protkorn="Ja",'9 Kvotereduktion'!$H$35,'9 Kvotereduktion'!$G$35)),IF(AND(Protkorn="Ja",Kornkøb="Ja"),'9 Kvotereduktion'!$M$35,IF(Protkorn="Ja",'9 Kvotereduktion'!$L$35,'9 Kvotereduktion'!$K$35)))</f>
        <v>0</v>
      </c>
      <c r="AI202" s="8">
        <f>AF202*AH202</f>
        <v>0</v>
      </c>
    </row>
    <row r="203" spans="2:37" ht="5" customHeight="1" x14ac:dyDescent="0.25">
      <c r="C203" s="4"/>
      <c r="F203" s="8"/>
      <c r="H203" s="37"/>
      <c r="M203" s="13"/>
      <c r="N203" s="13"/>
      <c r="O203" s="13"/>
      <c r="P203" s="13"/>
      <c r="Q203" s="13"/>
      <c r="R203" s="13"/>
      <c r="S203" s="13"/>
      <c r="T203" s="13"/>
      <c r="U203" s="13"/>
      <c r="Z203" s="13"/>
      <c r="AA203" s="13"/>
      <c r="AB203" s="13"/>
      <c r="AC203" s="13"/>
      <c r="AD203" s="13"/>
      <c r="AE203" s="13"/>
      <c r="AF203" s="13"/>
      <c r="AG203" s="13"/>
      <c r="AH203" s="13"/>
    </row>
    <row r="204" spans="2:37" x14ac:dyDescent="0.25">
      <c r="C204" s="4"/>
      <c r="F204" s="8"/>
      <c r="H204" s="37"/>
      <c r="M204" s="13" t="s">
        <v>219</v>
      </c>
      <c r="N204" s="47"/>
      <c r="O204" s="13"/>
      <c r="P204" s="13"/>
      <c r="Q204" s="8">
        <f>IF(Q198&lt;=(Q200+Q202),0,IF((Q198-Q200-Q202)&gt;$C$90*0.05,$C$90*0.05,Q198-Q200-Q202))</f>
        <v>0</v>
      </c>
      <c r="S204" s="37">
        <f>Q204/IF(OR($F$86="",$F$86&lt;80),93,150)</f>
        <v>0</v>
      </c>
      <c r="T204" s="13"/>
      <c r="U204" s="8">
        <f>IF(AND(OrgGodn&lt;80,OrgGodn=""),IF(AND(Protkorn="Ja",Kornkøb="Ja"),'9 Kvotereduktion'!$I$36,IF(Protkorn="Ja",'9 Kvotereduktion'!$H$36,'9 Kvotereduktion'!$G$36)),IF(AND(Protkorn="Ja",Kornkøb="Ja"),'9 Kvotereduktion'!$M$36,IF(Protkorn="Ja",'9 Kvotereduktion'!$L$36,'9 Kvotereduktion'!$K$36)))</f>
        <v>0</v>
      </c>
      <c r="V204" s="8">
        <f>S204*U204</f>
        <v>0</v>
      </c>
      <c r="Z204" s="13" t="s">
        <v>219</v>
      </c>
      <c r="AA204" s="47"/>
      <c r="AB204" s="13"/>
      <c r="AC204" s="13"/>
      <c r="AD204" s="8">
        <f>IF(AD198&lt;=(AD200+AD202),0,IF((AD198-AD200-AD202)&gt;$C$90*0.05,$C$90*0.05,AD198-AD200-AD202))</f>
        <v>0</v>
      </c>
      <c r="AF204" s="37">
        <f>AD204/IF(OR($F$86="",$F$86&lt;80),93,150)</f>
        <v>0</v>
      </c>
      <c r="AG204" s="13"/>
      <c r="AH204" s="8">
        <f>IF(AND(OrgGodn&lt;80,OrgGodn=""),IF(AND(Protkorn="Ja",Kornkøb="Ja"),'9 Kvotereduktion'!$I$36,IF(Protkorn="Ja",'9 Kvotereduktion'!$H$36,'9 Kvotereduktion'!$G$36)),IF(AND(Protkorn="Ja",Kornkøb="Ja"),'9 Kvotereduktion'!$M$36,IF(Protkorn="Ja",'9 Kvotereduktion'!$L$36,'9 Kvotereduktion'!$K$36)))</f>
        <v>0</v>
      </c>
      <c r="AI204" s="8">
        <f>AF204*AH204</f>
        <v>0</v>
      </c>
    </row>
    <row r="205" spans="2:37" ht="5" customHeight="1" x14ac:dyDescent="0.25">
      <c r="C205" s="4"/>
      <c r="F205" s="8"/>
      <c r="H205" s="37"/>
      <c r="M205" s="13"/>
      <c r="N205" s="47"/>
      <c r="O205" s="13"/>
      <c r="P205" s="13"/>
      <c r="Q205" s="8"/>
      <c r="S205" s="37"/>
      <c r="T205" s="13"/>
      <c r="U205" s="8"/>
      <c r="V205" s="8"/>
      <c r="Z205" s="13"/>
      <c r="AA205" s="47"/>
      <c r="AB205" s="13"/>
      <c r="AC205" s="13"/>
      <c r="AD205" s="8"/>
      <c r="AF205" s="37"/>
      <c r="AG205" s="13"/>
      <c r="AH205" s="8"/>
      <c r="AI205" s="8"/>
    </row>
    <row r="206" spans="2:37" x14ac:dyDescent="0.25">
      <c r="C206" s="4"/>
      <c r="F206" s="8"/>
      <c r="H206" s="37"/>
      <c r="M206" s="12" t="s">
        <v>235</v>
      </c>
      <c r="N206" s="47"/>
      <c r="O206" s="13"/>
      <c r="P206" s="13"/>
      <c r="Q206" s="8"/>
      <c r="S206" s="37"/>
      <c r="T206" s="13"/>
      <c r="U206" s="8"/>
      <c r="V206" s="9">
        <f>V134+V136+V138+V140+V142+V144+V146+V148+V150+V152+V154+V156+V158+V160+V162+V164+V166+V168+V170+V172+V174+V176+V178+V180+V182+V184+V186+V188+V190+V192+V194+V200+V202+V204</f>
        <v>0</v>
      </c>
      <c r="Z206" s="12" t="s">
        <v>235</v>
      </c>
      <c r="AA206" s="47"/>
      <c r="AB206" s="13"/>
      <c r="AC206" s="13"/>
      <c r="AD206" s="8"/>
      <c r="AF206" s="37"/>
      <c r="AG206" s="13"/>
      <c r="AH206" s="8"/>
      <c r="AI206" s="9">
        <f>AI134+AI136+AI138+AI140+AI142+AI144+AI146+AI148+AI150+AI152+AI154+AI156+AI158+AI160+AI162+AI164+AI166+AI168+AI170+AI172+AI174+AI176+AI178+AI180+AI182+AI184+AI186+AI188+AI190+AI192+AI194+AI200+AI202+AI204</f>
        <v>0</v>
      </c>
    </row>
    <row r="207" spans="2:37" ht="12" thickBot="1" x14ac:dyDescent="0.3">
      <c r="B207" s="7"/>
      <c r="C207" s="7"/>
      <c r="D207" s="7"/>
      <c r="E207" s="7"/>
      <c r="F207" s="7"/>
      <c r="G207" s="7"/>
      <c r="H207" s="7"/>
      <c r="I207" s="7"/>
      <c r="J207" s="7"/>
      <c r="K207" s="7"/>
      <c r="L207" s="13"/>
      <c r="M207" s="7"/>
      <c r="N207" s="7"/>
      <c r="O207" s="7"/>
      <c r="P207" s="7"/>
      <c r="Q207" s="7"/>
      <c r="R207" s="7"/>
      <c r="S207" s="7"/>
      <c r="T207" s="7"/>
      <c r="U207" s="7"/>
      <c r="V207" s="7"/>
      <c r="W207" s="7"/>
      <c r="X207" s="7"/>
      <c r="Z207" s="7"/>
      <c r="AA207" s="7"/>
      <c r="AB207" s="7"/>
      <c r="AC207" s="7"/>
      <c r="AD207" s="7"/>
      <c r="AE207" s="7"/>
      <c r="AF207" s="7"/>
      <c r="AG207" s="7"/>
      <c r="AH207" s="7"/>
      <c r="AI207" s="7"/>
      <c r="AJ207" s="7"/>
      <c r="AK207" s="7"/>
    </row>
    <row r="208" spans="2:37" x14ac:dyDescent="0.25">
      <c r="B208" s="13"/>
      <c r="C208" s="13"/>
      <c r="D208" s="13"/>
      <c r="E208" s="13"/>
      <c r="F208" s="13"/>
      <c r="G208" s="13"/>
      <c r="H208" s="13"/>
      <c r="I208" s="13"/>
      <c r="J208" s="13"/>
      <c r="K208" s="13"/>
      <c r="L208" s="13"/>
      <c r="M208" s="13"/>
      <c r="N208" s="13"/>
      <c r="O208" s="13"/>
      <c r="P208" s="13"/>
      <c r="Q208" s="13"/>
      <c r="R208" s="13"/>
      <c r="S208" s="13"/>
      <c r="T208" s="13"/>
      <c r="U208" s="13"/>
      <c r="V208" s="13"/>
    </row>
    <row r="209" spans="2:37" ht="14" x14ac:dyDescent="0.3">
      <c r="B209" s="13"/>
      <c r="C209" s="13"/>
      <c r="D209" s="13"/>
      <c r="E209" s="13"/>
      <c r="F209" s="13"/>
      <c r="G209" s="13"/>
      <c r="H209" s="13"/>
      <c r="I209" s="13"/>
      <c r="J209" s="13"/>
      <c r="K209" s="13"/>
      <c r="L209" s="13"/>
      <c r="M209" s="34" t="s">
        <v>73</v>
      </c>
      <c r="N209" s="31" t="s">
        <v>62</v>
      </c>
      <c r="O209" s="31"/>
      <c r="P209" s="31"/>
      <c r="Q209" s="31" t="s">
        <v>15</v>
      </c>
      <c r="R209" s="13"/>
      <c r="S209" s="13"/>
      <c r="T209" s="13"/>
      <c r="U209" s="13"/>
      <c r="V209" s="13"/>
      <c r="Z209" s="34" t="s">
        <v>73</v>
      </c>
      <c r="AA209" s="31" t="s">
        <v>62</v>
      </c>
      <c r="AB209" s="31"/>
      <c r="AC209" s="31"/>
      <c r="AD209" s="31" t="s">
        <v>15</v>
      </c>
    </row>
    <row r="210" spans="2:37" ht="5" customHeight="1" x14ac:dyDescent="0.25">
      <c r="B210" s="13"/>
      <c r="C210" s="13"/>
      <c r="D210" s="13"/>
      <c r="E210" s="13"/>
      <c r="F210" s="13"/>
      <c r="G210" s="13"/>
      <c r="H210" s="13"/>
      <c r="I210" s="13"/>
      <c r="J210" s="13"/>
      <c r="K210" s="13"/>
      <c r="L210" s="13"/>
      <c r="M210" s="13"/>
      <c r="N210" s="13"/>
      <c r="O210" s="13"/>
      <c r="P210" s="13"/>
      <c r="Q210" s="13"/>
      <c r="R210" s="13"/>
      <c r="S210" s="13"/>
      <c r="T210" s="13"/>
      <c r="U210" s="13"/>
      <c r="V210" s="13"/>
      <c r="Z210" s="13"/>
      <c r="AA210" s="13"/>
      <c r="AB210" s="13"/>
      <c r="AC210" s="13"/>
      <c r="AD210" s="13"/>
    </row>
    <row r="211" spans="2:37" x14ac:dyDescent="0.25">
      <c r="B211" s="13"/>
      <c r="C211" s="13"/>
      <c r="D211" s="13"/>
      <c r="E211" s="13"/>
      <c r="F211" s="13"/>
      <c r="G211" s="13"/>
      <c r="H211" s="13"/>
      <c r="I211" s="13"/>
      <c r="J211" s="13"/>
      <c r="K211" s="13"/>
      <c r="L211" s="13"/>
      <c r="M211" s="13" t="s">
        <v>74</v>
      </c>
      <c r="N211" s="47">
        <v>1</v>
      </c>
      <c r="O211" s="13"/>
      <c r="P211" s="13"/>
      <c r="Q211" s="17">
        <f>Ledig-Q134-Q136-Q138-Q140-Q142-Q144-Q146-Q148-Q150-Q152-Q154-Q156-Q220-Q222-Q224-Q226-Q228-Q230-Q232-Q234-Q236-Q238-Q240-Q242</f>
        <v>0</v>
      </c>
      <c r="R211" s="13"/>
      <c r="S211" s="13"/>
      <c r="T211" s="13"/>
      <c r="U211" s="13"/>
      <c r="V211" s="13"/>
      <c r="Z211" s="13" t="s">
        <v>74</v>
      </c>
      <c r="AA211" s="47">
        <v>1</v>
      </c>
      <c r="AB211" s="13"/>
      <c r="AC211" s="13"/>
      <c r="AD211" s="17">
        <f>Ledig-AD134-AD136-AD138-AD140-AD142-AD144-AD146-AD148-AD150-AD152-AD154-AD156-AD220-AD222-AD224-AD226-AD228-AD230-AD232-AD234-AD236-AD238-AD240-AD242</f>
        <v>0</v>
      </c>
    </row>
    <row r="212" spans="2:37" ht="5" customHeight="1" x14ac:dyDescent="0.25">
      <c r="B212" s="13"/>
      <c r="C212" s="13"/>
      <c r="D212" s="13"/>
      <c r="E212" s="13"/>
      <c r="F212" s="13"/>
      <c r="G212" s="13"/>
      <c r="H212" s="13"/>
      <c r="I212" s="13"/>
      <c r="J212" s="13"/>
      <c r="K212" s="13"/>
      <c r="L212" s="13"/>
      <c r="M212" s="13"/>
      <c r="N212" s="47"/>
      <c r="O212" s="13"/>
      <c r="P212" s="13"/>
      <c r="Q212" s="13"/>
      <c r="R212" s="13"/>
      <c r="S212" s="13"/>
      <c r="T212" s="13"/>
      <c r="U212" s="13"/>
      <c r="V212" s="13"/>
      <c r="Z212" s="13"/>
      <c r="AA212" s="47"/>
      <c r="AB212" s="13"/>
      <c r="AC212" s="13"/>
      <c r="AD212" s="13"/>
    </row>
    <row r="213" spans="2:37" x14ac:dyDescent="0.25">
      <c r="B213" s="13"/>
      <c r="C213" s="13"/>
      <c r="D213" s="13"/>
      <c r="E213" s="13"/>
      <c r="F213" s="13"/>
      <c r="G213" s="13"/>
      <c r="H213" s="13"/>
      <c r="I213" s="13"/>
      <c r="J213" s="13"/>
      <c r="K213" s="13"/>
      <c r="L213" s="13"/>
      <c r="M213" s="13" t="s">
        <v>75</v>
      </c>
      <c r="N213" s="47">
        <v>0.5</v>
      </c>
      <c r="O213" s="13"/>
      <c r="P213" s="13"/>
      <c r="Q213" s="17">
        <f>F19+F29+F31-Q174-Q260</f>
        <v>0</v>
      </c>
      <c r="R213" s="13"/>
      <c r="S213" s="13"/>
      <c r="T213" s="13"/>
      <c r="U213" s="13"/>
      <c r="V213" s="13"/>
      <c r="Z213" s="13" t="s">
        <v>75</v>
      </c>
      <c r="AA213" s="47">
        <v>0.5</v>
      </c>
      <c r="AB213" s="13"/>
      <c r="AC213" s="13"/>
      <c r="AD213" s="17">
        <f>S19+S29+S31-AD174-AD260</f>
        <v>0</v>
      </c>
    </row>
    <row r="214" spans="2:37" ht="5" customHeight="1" x14ac:dyDescent="0.25">
      <c r="B214" s="13"/>
      <c r="C214" s="13"/>
      <c r="D214" s="13"/>
      <c r="E214" s="13"/>
      <c r="F214" s="13"/>
      <c r="G214" s="13"/>
      <c r="H214" s="13"/>
      <c r="I214" s="13"/>
      <c r="J214" s="13"/>
      <c r="K214" s="13"/>
      <c r="L214" s="13"/>
      <c r="M214" s="13"/>
      <c r="N214" s="47"/>
      <c r="O214" s="13"/>
      <c r="P214" s="13"/>
      <c r="Q214" s="13"/>
      <c r="R214" s="13"/>
      <c r="S214" s="13"/>
      <c r="T214" s="13"/>
      <c r="U214" s="13"/>
      <c r="V214" s="13"/>
      <c r="Z214" s="13"/>
      <c r="AA214" s="47"/>
      <c r="AB214" s="13"/>
      <c r="AC214" s="13"/>
      <c r="AD214" s="13"/>
    </row>
    <row r="215" spans="2:37" x14ac:dyDescent="0.25">
      <c r="B215" s="13"/>
      <c r="C215" s="13"/>
      <c r="D215" s="13"/>
      <c r="E215" s="13"/>
      <c r="F215" s="13"/>
      <c r="G215" s="13"/>
      <c r="H215" s="13"/>
      <c r="I215" s="13"/>
      <c r="J215" s="13"/>
      <c r="K215" s="13"/>
      <c r="L215" s="13"/>
      <c r="M215" s="13" t="s">
        <v>77</v>
      </c>
      <c r="N215" s="47">
        <v>0.5</v>
      </c>
      <c r="O215" s="13"/>
      <c r="P215" s="13"/>
      <c r="Q215" s="17">
        <f>F33-Q176-Q262</f>
        <v>0</v>
      </c>
      <c r="R215" s="13"/>
      <c r="S215" s="13"/>
      <c r="T215" s="13"/>
      <c r="U215" s="13"/>
      <c r="V215" s="13"/>
      <c r="Z215" s="13" t="s">
        <v>77</v>
      </c>
      <c r="AA215" s="47">
        <v>0.5</v>
      </c>
      <c r="AB215" s="13"/>
      <c r="AC215" s="13"/>
      <c r="AD215" s="17">
        <f>S33-AD176-AD262</f>
        <v>0</v>
      </c>
    </row>
    <row r="216" spans="2:37" ht="12" thickBot="1" x14ac:dyDescent="0.3">
      <c r="B216" s="7"/>
      <c r="C216" s="7"/>
      <c r="D216" s="7"/>
      <c r="E216" s="7"/>
      <c r="F216" s="7"/>
      <c r="G216" s="7"/>
      <c r="H216" s="7"/>
      <c r="I216" s="7"/>
      <c r="J216" s="7"/>
      <c r="K216" s="7"/>
      <c r="L216" s="13"/>
      <c r="M216" s="7"/>
      <c r="N216" s="7"/>
      <c r="O216" s="7"/>
      <c r="P216" s="7"/>
      <c r="Q216" s="7"/>
      <c r="R216" s="7"/>
      <c r="S216" s="7"/>
      <c r="T216" s="7"/>
      <c r="U216" s="7"/>
      <c r="V216" s="7"/>
      <c r="W216" s="7"/>
      <c r="X216" s="7"/>
      <c r="Z216" s="7"/>
      <c r="AA216" s="7"/>
      <c r="AB216" s="7"/>
      <c r="AC216" s="7"/>
      <c r="AD216" s="7"/>
      <c r="AE216" s="7"/>
      <c r="AF216" s="7"/>
      <c r="AG216" s="7"/>
      <c r="AH216" s="7"/>
      <c r="AI216" s="7"/>
      <c r="AJ216" s="7"/>
      <c r="AK216" s="7"/>
    </row>
    <row r="217" spans="2:37" x14ac:dyDescent="0.25">
      <c r="B217" s="13"/>
      <c r="C217" s="13"/>
      <c r="D217" s="13"/>
      <c r="E217" s="13"/>
      <c r="F217" s="13"/>
      <c r="G217" s="13"/>
      <c r="H217" s="13"/>
      <c r="I217" s="13"/>
      <c r="J217" s="13"/>
      <c r="K217" s="13"/>
      <c r="L217" s="13"/>
      <c r="M217" s="13"/>
      <c r="N217" s="13"/>
      <c r="O217" s="13"/>
      <c r="P217" s="13"/>
      <c r="Q217" s="13"/>
      <c r="R217" s="13"/>
      <c r="S217" s="13"/>
      <c r="T217" s="13"/>
      <c r="U217" s="13"/>
      <c r="V217" s="13"/>
    </row>
    <row r="218" spans="2:37" ht="23.5" x14ac:dyDescent="0.3">
      <c r="M218" s="30" t="s">
        <v>204</v>
      </c>
      <c r="N218" s="11" t="s">
        <v>62</v>
      </c>
      <c r="Q218" s="11" t="s">
        <v>15</v>
      </c>
      <c r="R218" s="11"/>
      <c r="S218" s="11" t="s">
        <v>63</v>
      </c>
      <c r="T218" s="4"/>
      <c r="U218" s="44" t="s">
        <v>188</v>
      </c>
      <c r="V218" s="44" t="s">
        <v>189</v>
      </c>
      <c r="W218" s="45" t="s">
        <v>226</v>
      </c>
      <c r="X218" s="45" t="s">
        <v>225</v>
      </c>
      <c r="Z218" s="30" t="s">
        <v>204</v>
      </c>
      <c r="AA218" s="11" t="s">
        <v>62</v>
      </c>
      <c r="AD218" s="11" t="s">
        <v>15</v>
      </c>
      <c r="AE218" s="11"/>
      <c r="AF218" s="11" t="s">
        <v>63</v>
      </c>
      <c r="AG218" s="4"/>
      <c r="AH218" s="44" t="s">
        <v>188</v>
      </c>
      <c r="AI218" s="44" t="s">
        <v>189</v>
      </c>
      <c r="AJ218" s="45" t="s">
        <v>226</v>
      </c>
      <c r="AK218" s="45" t="s">
        <v>225</v>
      </c>
    </row>
    <row r="219" spans="2:37" ht="5" customHeight="1" x14ac:dyDescent="0.25"/>
    <row r="220" spans="2:37" x14ac:dyDescent="0.25">
      <c r="M220" s="2" t="s">
        <v>186</v>
      </c>
      <c r="N220" s="46">
        <v>1</v>
      </c>
      <c r="Q220" s="50"/>
      <c r="S220" s="37">
        <f>N220*Q220</f>
        <v>0</v>
      </c>
      <c r="U220" s="8">
        <f>IF(OR($F$86&lt;80,$F$86=""),'4 Efterafgrøder'!$M$17,'4 Efterafgrøder'!$N$17)</f>
        <v>-517</v>
      </c>
      <c r="V220" s="8">
        <f>Q220*U220</f>
        <v>0</v>
      </c>
      <c r="Z220" s="2" t="s">
        <v>186</v>
      </c>
      <c r="AA220" s="46">
        <v>1</v>
      </c>
      <c r="AD220" s="50"/>
      <c r="AF220" s="37">
        <f>AA220*AD220</f>
        <v>0</v>
      </c>
      <c r="AH220" s="8">
        <f>IF(OR($F$86&lt;80,$F$86=""),'4 Efterafgrøder'!$M$17,'4 Efterafgrøder'!$N$17)</f>
        <v>-517</v>
      </c>
      <c r="AI220" s="8">
        <f>AD220*AH220</f>
        <v>0</v>
      </c>
    </row>
    <row r="221" spans="2:37" ht="5" customHeight="1" x14ac:dyDescent="0.25"/>
    <row r="222" spans="2:37" x14ac:dyDescent="0.25">
      <c r="M222" s="2" t="s">
        <v>187</v>
      </c>
      <c r="N222" s="46">
        <v>1</v>
      </c>
      <c r="Q222" s="50"/>
      <c r="S222" s="37">
        <f>N222*Q222</f>
        <v>0</v>
      </c>
      <c r="U222" s="8">
        <f>IF(OR($F$86&lt;80,$F$86=""),'4 Efterafgrøder'!$O$17,'4 Efterafgrøder'!$P$17)</f>
        <v>-307</v>
      </c>
      <c r="V222" s="8">
        <f>Q222*U222</f>
        <v>0</v>
      </c>
      <c r="Z222" s="2" t="s">
        <v>187</v>
      </c>
      <c r="AA222" s="46">
        <v>1</v>
      </c>
      <c r="AD222" s="50"/>
      <c r="AF222" s="37">
        <f>AA222*AD222</f>
        <v>0</v>
      </c>
      <c r="AH222" s="8">
        <f>IF(OR($F$86&lt;80,$F$86=""),'4 Efterafgrøder'!$O$17,'4 Efterafgrøder'!$P$17)</f>
        <v>-307</v>
      </c>
      <c r="AI222" s="8">
        <f>AD222*AH222</f>
        <v>0</v>
      </c>
    </row>
    <row r="223" spans="2:37" ht="5" customHeight="1" x14ac:dyDescent="0.25"/>
    <row r="224" spans="2:37" x14ac:dyDescent="0.25">
      <c r="M224" s="2" t="s">
        <v>190</v>
      </c>
      <c r="N224" s="46">
        <v>1</v>
      </c>
      <c r="Q224" s="50"/>
      <c r="S224" s="37">
        <f>N224*Q224</f>
        <v>0</v>
      </c>
      <c r="U224" s="8">
        <f>IF(OR($F$86&lt;80,$F$86=""),'4 Efterafgrøder'!$M$38,'4 Efterafgrøder'!$N$38)</f>
        <v>-370</v>
      </c>
      <c r="V224" s="8">
        <f>Q224*U224</f>
        <v>0</v>
      </c>
      <c r="Z224" s="2" t="s">
        <v>190</v>
      </c>
      <c r="AA224" s="46">
        <v>1</v>
      </c>
      <c r="AD224" s="50"/>
      <c r="AF224" s="37">
        <f>AA224*AD224</f>
        <v>0</v>
      </c>
      <c r="AH224" s="8">
        <f>IF(OR($F$86&lt;80,$F$86=""),'4 Efterafgrøder'!$M$38,'4 Efterafgrøder'!$N$38)</f>
        <v>-370</v>
      </c>
      <c r="AI224" s="8">
        <f>AD224*AH224</f>
        <v>0</v>
      </c>
    </row>
    <row r="225" spans="13:37" ht="5" customHeight="1" x14ac:dyDescent="0.25"/>
    <row r="226" spans="13:37" x14ac:dyDescent="0.25">
      <c r="M226" s="2" t="s">
        <v>191</v>
      </c>
      <c r="N226" s="46">
        <v>1</v>
      </c>
      <c r="Q226" s="50"/>
      <c r="S226" s="37">
        <f>N226*Q226</f>
        <v>0</v>
      </c>
      <c r="U226" s="8">
        <f>IF(OR($F$86&lt;80,$F$86=""),'4 Efterafgrøder'!$O$38,'4 Efterafgrøder'!$P$38)</f>
        <v>-160</v>
      </c>
      <c r="V226" s="8">
        <f>Q226*U226</f>
        <v>0</v>
      </c>
      <c r="Z226" s="2" t="s">
        <v>191</v>
      </c>
      <c r="AA226" s="46">
        <v>1</v>
      </c>
      <c r="AD226" s="50"/>
      <c r="AF226" s="37">
        <f>AA226*AD226</f>
        <v>0</v>
      </c>
      <c r="AH226" s="8">
        <f>IF(OR($F$86&lt;80,$F$86=""),'4 Efterafgrøder'!$O$38,'4 Efterafgrøder'!$P$38)</f>
        <v>-160</v>
      </c>
      <c r="AI226" s="8">
        <f>AD226*AH226</f>
        <v>0</v>
      </c>
    </row>
    <row r="227" spans="13:37" ht="5" customHeight="1" x14ac:dyDescent="0.25"/>
    <row r="228" spans="13:37" x14ac:dyDescent="0.25">
      <c r="M228" s="2" t="s">
        <v>192</v>
      </c>
      <c r="N228" s="46">
        <v>1</v>
      </c>
      <c r="Q228" s="50"/>
      <c r="S228" s="37">
        <f>N228*Q228</f>
        <v>0</v>
      </c>
      <c r="U228" s="8">
        <f>IF(OR($F$86&lt;80,$F$86=""),'4 Efterafgrøder'!$M$38,'4 Efterafgrøder'!$N$38)</f>
        <v>-370</v>
      </c>
      <c r="V228" s="8">
        <f>Q228*U228</f>
        <v>0</v>
      </c>
      <c r="W228" s="2">
        <f>IF($F$86&lt;80,17,27)</f>
        <v>17</v>
      </c>
      <c r="X228" s="2">
        <f>Q228*W228</f>
        <v>0</v>
      </c>
      <c r="Z228" s="2" t="s">
        <v>192</v>
      </c>
      <c r="AA228" s="46">
        <v>1</v>
      </c>
      <c r="AD228" s="50"/>
      <c r="AF228" s="37">
        <f>AA228*AD228</f>
        <v>0</v>
      </c>
      <c r="AH228" s="8">
        <f>IF(OR($F$86&lt;80,$F$86=""),'4 Efterafgrøder'!$M$38,'4 Efterafgrøder'!$N$38)</f>
        <v>-370</v>
      </c>
      <c r="AI228" s="8">
        <f>AD228*AH228</f>
        <v>0</v>
      </c>
      <c r="AJ228" s="2">
        <f>IF($F$86&lt;80,17,27)</f>
        <v>17</v>
      </c>
      <c r="AK228" s="2">
        <f>AD228*AJ228</f>
        <v>0</v>
      </c>
    </row>
    <row r="229" spans="13:37" ht="5" customHeight="1" x14ac:dyDescent="0.25"/>
    <row r="230" spans="13:37" x14ac:dyDescent="0.25">
      <c r="M230" s="2" t="s">
        <v>193</v>
      </c>
      <c r="N230" s="46">
        <v>1</v>
      </c>
      <c r="Q230" s="50"/>
      <c r="S230" s="37">
        <f>N230*Q230</f>
        <v>0</v>
      </c>
      <c r="U230" s="8">
        <f>IF(OR($F$86&lt;80,$F$86=""),'4 Efterafgrøder'!$O$38,'4 Efterafgrøder'!$P$38)</f>
        <v>-160</v>
      </c>
      <c r="V230" s="8">
        <f>Q230*U230</f>
        <v>0</v>
      </c>
      <c r="W230" s="2">
        <f>IF($F$86&lt;80,17,27)</f>
        <v>17</v>
      </c>
      <c r="X230" s="2">
        <f>Q230*W230</f>
        <v>0</v>
      </c>
      <c r="Z230" s="2" t="s">
        <v>193</v>
      </c>
      <c r="AA230" s="46">
        <v>1</v>
      </c>
      <c r="AD230" s="50"/>
      <c r="AF230" s="37">
        <f>AA230*AD230</f>
        <v>0</v>
      </c>
      <c r="AH230" s="8">
        <f>IF(OR($F$86&lt;80,$F$86=""),'4 Efterafgrøder'!$O$38,'4 Efterafgrøder'!$P$38)</f>
        <v>-160</v>
      </c>
      <c r="AI230" s="8">
        <f>AD230*AH230</f>
        <v>0</v>
      </c>
      <c r="AJ230" s="2">
        <f>IF($F$86&lt;80,17,27)</f>
        <v>17</v>
      </c>
      <c r="AK230" s="2">
        <f>AD230*AJ230</f>
        <v>0</v>
      </c>
    </row>
    <row r="231" spans="13:37" ht="5" customHeight="1" x14ac:dyDescent="0.25"/>
    <row r="232" spans="13:37" x14ac:dyDescent="0.25">
      <c r="M232" s="2" t="s">
        <v>194</v>
      </c>
      <c r="N232" s="46">
        <v>1</v>
      </c>
      <c r="Q232" s="50"/>
      <c r="S232" s="37">
        <f>N232*Q232</f>
        <v>0</v>
      </c>
      <c r="U232" s="8">
        <f>IF(OR($F$86&lt;80,$F$86=""),'4 Efterafgrøder'!$M$38,'4 Efterafgrøder'!$N$38)</f>
        <v>-370</v>
      </c>
      <c r="V232" s="8">
        <f>Q232*U232</f>
        <v>0</v>
      </c>
      <c r="W232" s="2">
        <f>IF($F$86&lt;80,30,48)</f>
        <v>30</v>
      </c>
      <c r="X232" s="2">
        <f>Q232*W232</f>
        <v>0</v>
      </c>
      <c r="Z232" s="2" t="s">
        <v>194</v>
      </c>
      <c r="AA232" s="46">
        <v>1</v>
      </c>
      <c r="AD232" s="50"/>
      <c r="AF232" s="37">
        <f>AA232*AD232</f>
        <v>0</v>
      </c>
      <c r="AH232" s="8">
        <f>IF(OR($F$86&lt;80,$F$86=""),'4 Efterafgrøder'!$M$38,'4 Efterafgrøder'!$N$38)</f>
        <v>-370</v>
      </c>
      <c r="AI232" s="8">
        <f>AD232*AH232</f>
        <v>0</v>
      </c>
      <c r="AJ232" s="2">
        <f>IF($F$86&lt;80,30,48)</f>
        <v>30</v>
      </c>
      <c r="AK232" s="2">
        <f>AD232*AJ232</f>
        <v>0</v>
      </c>
    </row>
    <row r="233" spans="13:37" ht="5" customHeight="1" x14ac:dyDescent="0.25"/>
    <row r="234" spans="13:37" x14ac:dyDescent="0.25">
      <c r="M234" s="2" t="s">
        <v>195</v>
      </c>
      <c r="N234" s="46">
        <v>1</v>
      </c>
      <c r="Q234" s="50"/>
      <c r="S234" s="37">
        <f>N234*Q234</f>
        <v>0</v>
      </c>
      <c r="U234" s="8">
        <f>IF(OR($F$86&lt;80,$F$86=""),'4 Efterafgrøder'!$O$38,'4 Efterafgrøder'!$P$38)</f>
        <v>-160</v>
      </c>
      <c r="V234" s="8">
        <f>Q234*U234</f>
        <v>0</v>
      </c>
      <c r="W234" s="2">
        <f>IF($F$86&lt;80,30,48)</f>
        <v>30</v>
      </c>
      <c r="X234" s="2">
        <f>Q234*W234</f>
        <v>0</v>
      </c>
      <c r="Z234" s="2" t="s">
        <v>195</v>
      </c>
      <c r="AA234" s="46">
        <v>1</v>
      </c>
      <c r="AD234" s="50"/>
      <c r="AF234" s="37">
        <f>AA234*AD234</f>
        <v>0</v>
      </c>
      <c r="AH234" s="8">
        <f>IF(OR($F$86&lt;80,$F$86=""),'4 Efterafgrøder'!$O$38,'4 Efterafgrøder'!$P$38)</f>
        <v>-160</v>
      </c>
      <c r="AI234" s="8">
        <f>AD234*AH234</f>
        <v>0</v>
      </c>
      <c r="AJ234" s="2">
        <f>IF($F$86&lt;80,30,48)</f>
        <v>30</v>
      </c>
      <c r="AK234" s="2">
        <f>AD234*AJ234</f>
        <v>0</v>
      </c>
    </row>
    <row r="235" spans="13:37" ht="5" customHeight="1" x14ac:dyDescent="0.25">
      <c r="N235" s="46"/>
      <c r="Q235" s="38"/>
      <c r="AA235" s="46"/>
      <c r="AD235" s="38"/>
    </row>
    <row r="236" spans="13:37" x14ac:dyDescent="0.25">
      <c r="M236" s="2" t="s">
        <v>194</v>
      </c>
      <c r="N236" s="46">
        <v>1</v>
      </c>
      <c r="Q236" s="50"/>
      <c r="S236" s="37">
        <f>N236*Q236</f>
        <v>0</v>
      </c>
      <c r="U236" s="8">
        <f>IF(OR($F$86&lt;80,$F$86=""),'4 Efterafgrøder'!$M$38,'4 Efterafgrøder'!$N$38)</f>
        <v>-370</v>
      </c>
      <c r="V236" s="8">
        <f>Q236*U236</f>
        <v>0</v>
      </c>
      <c r="W236" s="2">
        <f>IF($F$86&lt;80,45,72)</f>
        <v>45</v>
      </c>
      <c r="X236" s="2">
        <f>Q236*W236</f>
        <v>0</v>
      </c>
      <c r="Z236" s="2" t="s">
        <v>194</v>
      </c>
      <c r="AA236" s="46">
        <v>1</v>
      </c>
      <c r="AD236" s="50"/>
      <c r="AF236" s="37">
        <f>AA236*AD236</f>
        <v>0</v>
      </c>
      <c r="AH236" s="8">
        <f>IF(OR($F$86&lt;80,$F$86=""),'4 Efterafgrøder'!$M$38,'4 Efterafgrøder'!$N$38)</f>
        <v>-370</v>
      </c>
      <c r="AI236" s="8">
        <f>AD236*AH236</f>
        <v>0</v>
      </c>
      <c r="AJ236" s="2">
        <f>IF($F$86&lt;80,45,72)</f>
        <v>45</v>
      </c>
      <c r="AK236" s="2">
        <f>AD236*AJ236</f>
        <v>0</v>
      </c>
    </row>
    <row r="237" spans="13:37" ht="5" customHeight="1" x14ac:dyDescent="0.25"/>
    <row r="238" spans="13:37" x14ac:dyDescent="0.25">
      <c r="M238" s="2" t="s">
        <v>195</v>
      </c>
      <c r="N238" s="46">
        <v>1</v>
      </c>
      <c r="Q238" s="50"/>
      <c r="S238" s="37">
        <f>N238*Q238</f>
        <v>0</v>
      </c>
      <c r="U238" s="8">
        <f>IF(OR($F$86&lt;80,$F$86=""),'4 Efterafgrøder'!$O$38,'4 Efterafgrøder'!$P$38)</f>
        <v>-160</v>
      </c>
      <c r="V238" s="8">
        <f>Q238*U238</f>
        <v>0</v>
      </c>
      <c r="W238" s="2">
        <f>IF($F$86&lt;80,45,72)</f>
        <v>45</v>
      </c>
      <c r="X238" s="2">
        <f>Q238*W238</f>
        <v>0</v>
      </c>
      <c r="Z238" s="2" t="s">
        <v>195</v>
      </c>
      <c r="AA238" s="46">
        <v>1</v>
      </c>
      <c r="AD238" s="50"/>
      <c r="AF238" s="37">
        <f>AA238*AD238</f>
        <v>0</v>
      </c>
      <c r="AH238" s="8">
        <f>IF(OR($F$86&lt;80,$F$86=""),'4 Efterafgrøder'!$O$38,'4 Efterafgrøder'!$P$38)</f>
        <v>-160</v>
      </c>
      <c r="AI238" s="8">
        <f>AD238*AH238</f>
        <v>0</v>
      </c>
      <c r="AJ238" s="2">
        <f>IF($F$86&lt;80,45,72)</f>
        <v>45</v>
      </c>
      <c r="AK238" s="2">
        <f>AD238*AJ238</f>
        <v>0</v>
      </c>
    </row>
    <row r="239" spans="13:37" ht="5" customHeight="1" x14ac:dyDescent="0.25"/>
    <row r="240" spans="13:37" x14ac:dyDescent="0.25">
      <c r="M240" s="2" t="s">
        <v>196</v>
      </c>
      <c r="N240" s="46">
        <v>1</v>
      </c>
      <c r="Q240" s="50"/>
      <c r="S240" s="37">
        <f>N240*Q240</f>
        <v>0</v>
      </c>
      <c r="U240" s="8">
        <f>IF(OR($F$86&lt;80,$F$86=""),'4 Efterafgrøder'!$M$61,'4 Efterafgrøder'!$N$61)</f>
        <v>-245</v>
      </c>
      <c r="V240" s="8">
        <f>Q240*U240</f>
        <v>0</v>
      </c>
      <c r="Z240" s="2" t="s">
        <v>196</v>
      </c>
      <c r="AA240" s="46">
        <v>1</v>
      </c>
      <c r="AD240" s="50"/>
      <c r="AF240" s="37">
        <f>AA240*AD240</f>
        <v>0</v>
      </c>
      <c r="AH240" s="8">
        <f>IF(OR($F$86&lt;80,$F$86=""),'4 Efterafgrøder'!$M$61,'4 Efterafgrøder'!$N$61)</f>
        <v>-245</v>
      </c>
      <c r="AI240" s="8">
        <f>AD240*AH240</f>
        <v>0</v>
      </c>
    </row>
    <row r="241" spans="13:37" ht="5" customHeight="1" x14ac:dyDescent="0.25"/>
    <row r="242" spans="13:37" x14ac:dyDescent="0.25">
      <c r="M242" s="2" t="s">
        <v>197</v>
      </c>
      <c r="N242" s="46">
        <v>1</v>
      </c>
      <c r="Q242" s="50"/>
      <c r="S242" s="37">
        <f>N242*Q242</f>
        <v>0</v>
      </c>
      <c r="U242" s="8">
        <f>IF(OR($F$86&lt;80,$F$86=""),'4 Efterafgrøder'!$O$61,'4 Efterafgrøder'!$P$61)</f>
        <v>-245</v>
      </c>
      <c r="V242" s="8">
        <f>Q242*U242</f>
        <v>0</v>
      </c>
      <c r="Z242" s="2" t="s">
        <v>197</v>
      </c>
      <c r="AA242" s="46">
        <v>1</v>
      </c>
      <c r="AD242" s="50"/>
      <c r="AF242" s="37">
        <f>AA242*AD242</f>
        <v>0</v>
      </c>
      <c r="AH242" s="8">
        <f>IF(OR($F$86&lt;80,$F$86=""),'4 Efterafgrøder'!$O$61,'4 Efterafgrøder'!$P$61)</f>
        <v>-245</v>
      </c>
      <c r="AI242" s="8">
        <f>AD242*AH242</f>
        <v>0</v>
      </c>
    </row>
    <row r="243" spans="13:37" ht="5" customHeight="1" x14ac:dyDescent="0.25"/>
    <row r="244" spans="13:37" x14ac:dyDescent="0.25">
      <c r="M244" s="2" t="s">
        <v>198</v>
      </c>
      <c r="N244" s="46">
        <v>1</v>
      </c>
      <c r="Q244" s="50"/>
      <c r="S244" s="37">
        <f>N244*Q244</f>
        <v>0</v>
      </c>
      <c r="U244" s="8">
        <f>IF(OR($F$86&lt;80,$F$86=""),'4 Efterafgrøder'!$M$95,'4 Efterafgrøder'!$N$95)</f>
        <v>940</v>
      </c>
      <c r="V244" s="8">
        <f>Q244*U244</f>
        <v>0</v>
      </c>
      <c r="Z244" s="2" t="s">
        <v>198</v>
      </c>
      <c r="AA244" s="46">
        <v>1</v>
      </c>
      <c r="AD244" s="50"/>
      <c r="AF244" s="37">
        <f>AA244*AD244</f>
        <v>0</v>
      </c>
      <c r="AH244" s="8">
        <f>IF(OR($F$86&lt;80,$F$86=""),'4 Efterafgrøder'!$M$95,'4 Efterafgrøder'!$N$95)</f>
        <v>940</v>
      </c>
      <c r="AI244" s="8">
        <f>AD244*AH244</f>
        <v>0</v>
      </c>
    </row>
    <row r="245" spans="13:37" ht="5" customHeight="1" x14ac:dyDescent="0.25"/>
    <row r="246" spans="13:37" x14ac:dyDescent="0.25">
      <c r="M246" s="2" t="s">
        <v>199</v>
      </c>
      <c r="N246" s="46">
        <v>1</v>
      </c>
      <c r="Q246" s="50"/>
      <c r="S246" s="37">
        <f>N246*Q246</f>
        <v>0</v>
      </c>
      <c r="U246" s="8">
        <f>IF(OR($F$86&lt;80,$F$86=""),'4 Efterafgrøder'!$O$95,'4 Efterafgrøder'!$P$95)</f>
        <v>1900</v>
      </c>
      <c r="V246" s="8">
        <f>Q246*U246</f>
        <v>0</v>
      </c>
      <c r="Z246" s="2" t="s">
        <v>199</v>
      </c>
      <c r="AA246" s="46">
        <v>1</v>
      </c>
      <c r="AD246" s="50"/>
      <c r="AF246" s="37">
        <f>AA246*AD246</f>
        <v>0</v>
      </c>
      <c r="AH246" s="8">
        <f>IF(OR($F$86&lt;80,$F$86=""),'4 Efterafgrøder'!$O$95,'4 Efterafgrøder'!$P$95)</f>
        <v>1900</v>
      </c>
      <c r="AI246" s="8">
        <f>AD246*AH246</f>
        <v>0</v>
      </c>
    </row>
    <row r="247" spans="13:37" ht="5" customHeight="1" x14ac:dyDescent="0.25"/>
    <row r="248" spans="13:37" x14ac:dyDescent="0.25">
      <c r="M248" s="2" t="s">
        <v>200</v>
      </c>
      <c r="N248" s="46">
        <v>1</v>
      </c>
      <c r="Q248" s="50"/>
      <c r="S248" s="37">
        <f>N248*Q248</f>
        <v>0</v>
      </c>
      <c r="U248" s="8">
        <f>IF(OR($F$86&lt;80,$F$86=""),'4 Efterafgrøder'!$M$95,'4 Efterafgrøder'!$N$95)</f>
        <v>940</v>
      </c>
      <c r="V248" s="8">
        <f>Q248*U248</f>
        <v>0</v>
      </c>
      <c r="W248" s="2">
        <f>IF($F$86&lt;80,17,27)</f>
        <v>17</v>
      </c>
      <c r="X248" s="2">
        <f>Q248*W248</f>
        <v>0</v>
      </c>
      <c r="Z248" s="2" t="s">
        <v>200</v>
      </c>
      <c r="AA248" s="46">
        <v>1</v>
      </c>
      <c r="AD248" s="50"/>
      <c r="AF248" s="37">
        <f>AA248*AD248</f>
        <v>0</v>
      </c>
      <c r="AH248" s="8">
        <f>IF(OR($F$86&lt;80,$F$86=""),'4 Efterafgrøder'!$M$95,'4 Efterafgrøder'!$N$95)</f>
        <v>940</v>
      </c>
      <c r="AI248" s="8">
        <f>AD248*AH248</f>
        <v>0</v>
      </c>
      <c r="AJ248" s="2">
        <f>IF($F$86&lt;80,17,27)</f>
        <v>17</v>
      </c>
      <c r="AK248" s="2">
        <f>AD248*AJ248</f>
        <v>0</v>
      </c>
    </row>
    <row r="249" spans="13:37" ht="5" customHeight="1" x14ac:dyDescent="0.25"/>
    <row r="250" spans="13:37" x14ac:dyDescent="0.25">
      <c r="M250" s="2" t="s">
        <v>201</v>
      </c>
      <c r="N250" s="46">
        <v>1</v>
      </c>
      <c r="Q250" s="50"/>
      <c r="S250" s="37">
        <f>N250*Q250</f>
        <v>0</v>
      </c>
      <c r="U250" s="8">
        <f>IF(OR($F$86&lt;80,$F$86=""),'4 Efterafgrøder'!$O$95,'4 Efterafgrøder'!$P$95)</f>
        <v>1900</v>
      </c>
      <c r="V250" s="8">
        <f>Q250*U250</f>
        <v>0</v>
      </c>
      <c r="W250" s="2">
        <f>IF($F$86&lt;80,17,27)</f>
        <v>17</v>
      </c>
      <c r="X250" s="2">
        <f>Q250*W250</f>
        <v>0</v>
      </c>
      <c r="Z250" s="2" t="s">
        <v>201</v>
      </c>
      <c r="AA250" s="46">
        <v>1</v>
      </c>
      <c r="AD250" s="50"/>
      <c r="AF250" s="37">
        <f>AA250*AD250</f>
        <v>0</v>
      </c>
      <c r="AH250" s="8">
        <f>IF(OR($F$86&lt;80,$F$86=""),'4 Efterafgrøder'!$O$95,'4 Efterafgrøder'!$P$95)</f>
        <v>1900</v>
      </c>
      <c r="AI250" s="8">
        <f>AD250*AH250</f>
        <v>0</v>
      </c>
      <c r="AJ250" s="2">
        <f>IF($F$86&lt;80,17,27)</f>
        <v>17</v>
      </c>
      <c r="AK250" s="2">
        <f>AD250*AJ250</f>
        <v>0</v>
      </c>
    </row>
    <row r="251" spans="13:37" ht="5" customHeight="1" x14ac:dyDescent="0.25"/>
    <row r="252" spans="13:37" x14ac:dyDescent="0.25">
      <c r="M252" s="2" t="s">
        <v>202</v>
      </c>
      <c r="N252" s="46">
        <v>1</v>
      </c>
      <c r="Q252" s="50"/>
      <c r="S252" s="37">
        <f>N252*Q252</f>
        <v>0</v>
      </c>
      <c r="U252" s="8">
        <f>IF(OR($F$86&lt;80,$F$86=""),'4 Efterafgrøder'!$M$95,'4 Efterafgrøder'!$N$95)</f>
        <v>940</v>
      </c>
      <c r="V252" s="8">
        <f>Q252*U252</f>
        <v>0</v>
      </c>
      <c r="W252" s="2">
        <f>IF($F$86&lt;80,30,48)</f>
        <v>30</v>
      </c>
      <c r="X252" s="2">
        <f>Q252*W252</f>
        <v>0</v>
      </c>
      <c r="Z252" s="2" t="s">
        <v>202</v>
      </c>
      <c r="AA252" s="46">
        <v>1</v>
      </c>
      <c r="AD252" s="50"/>
      <c r="AF252" s="37">
        <f>AA252*AD252</f>
        <v>0</v>
      </c>
      <c r="AH252" s="8">
        <f>IF(OR($F$86&lt;80,$F$86=""),'4 Efterafgrøder'!$M$95,'4 Efterafgrøder'!$N$95)</f>
        <v>940</v>
      </c>
      <c r="AI252" s="8">
        <f>AD252*AH252</f>
        <v>0</v>
      </c>
      <c r="AJ252" s="2">
        <f>IF($F$86&lt;80,30,48)</f>
        <v>30</v>
      </c>
      <c r="AK252" s="2">
        <f>AD252*AJ252</f>
        <v>0</v>
      </c>
    </row>
    <row r="253" spans="13:37" ht="5" customHeight="1" x14ac:dyDescent="0.25"/>
    <row r="254" spans="13:37" x14ac:dyDescent="0.25">
      <c r="M254" s="2" t="s">
        <v>203</v>
      </c>
      <c r="N254" s="46">
        <v>1</v>
      </c>
      <c r="Q254" s="50"/>
      <c r="S254" s="37">
        <f>N254*Q254</f>
        <v>0</v>
      </c>
      <c r="U254" s="8">
        <f>IF(OR($F$86&lt;80,$F$86=""),'4 Efterafgrøder'!$O$95,'4 Efterafgrøder'!$P$95)</f>
        <v>1900</v>
      </c>
      <c r="V254" s="8">
        <f>Q254*U254</f>
        <v>0</v>
      </c>
      <c r="W254" s="2">
        <f>IF($F$86&lt;80,30,48)</f>
        <v>30</v>
      </c>
      <c r="X254" s="2">
        <f>Q254*W254</f>
        <v>0</v>
      </c>
      <c r="Z254" s="2" t="s">
        <v>203</v>
      </c>
      <c r="AA254" s="46">
        <v>1</v>
      </c>
      <c r="AD254" s="50"/>
      <c r="AF254" s="37">
        <f>AA254*AD254</f>
        <v>0</v>
      </c>
      <c r="AH254" s="8">
        <f>IF(OR($F$86&lt;80,$F$86=""),'4 Efterafgrøder'!$O$95,'4 Efterafgrøder'!$P$95)</f>
        <v>1900</v>
      </c>
      <c r="AI254" s="8">
        <f>AD254*AH254</f>
        <v>0</v>
      </c>
      <c r="AJ254" s="2">
        <f>IF($F$86&lt;80,30,48)</f>
        <v>30</v>
      </c>
      <c r="AK254" s="2">
        <f>AD254*AJ254</f>
        <v>0</v>
      </c>
    </row>
    <row r="255" spans="13:37" ht="5" customHeight="1" x14ac:dyDescent="0.25">
      <c r="N255" s="46"/>
      <c r="Q255" s="38"/>
      <c r="AA255" s="46"/>
      <c r="AD255" s="38"/>
    </row>
    <row r="256" spans="13:37" x14ac:dyDescent="0.25">
      <c r="M256" s="2" t="s">
        <v>202</v>
      </c>
      <c r="N256" s="46">
        <v>1</v>
      </c>
      <c r="Q256" s="50"/>
      <c r="S256" s="37">
        <f>N256*Q256</f>
        <v>0</v>
      </c>
      <c r="U256" s="8">
        <f>IF(OR($F$86&lt;80,$F$86=""),'4 Efterafgrøder'!$M$95,'4 Efterafgrøder'!$N$95)</f>
        <v>940</v>
      </c>
      <c r="V256" s="8">
        <f>Q256*U256</f>
        <v>0</v>
      </c>
      <c r="W256" s="2">
        <f>IF($F$86&lt;80,45,72)</f>
        <v>45</v>
      </c>
      <c r="X256" s="2">
        <f>Q256*W256</f>
        <v>0</v>
      </c>
      <c r="Z256" s="2" t="s">
        <v>202</v>
      </c>
      <c r="AA256" s="46">
        <v>1</v>
      </c>
      <c r="AD256" s="50"/>
      <c r="AF256" s="37">
        <f>AA256*AD256</f>
        <v>0</v>
      </c>
      <c r="AH256" s="8">
        <f>IF(OR($F$86&lt;80,$F$86=""),'4 Efterafgrøder'!$M$95,'4 Efterafgrøder'!$N$95)</f>
        <v>940</v>
      </c>
      <c r="AI256" s="8">
        <f>AD256*AH256</f>
        <v>0</v>
      </c>
      <c r="AJ256" s="2">
        <f>IF($F$86&lt;80,45,72)</f>
        <v>45</v>
      </c>
      <c r="AK256" s="2">
        <f>AD256*AJ256</f>
        <v>0</v>
      </c>
    </row>
    <row r="257" spans="13:37" ht="5" customHeight="1" x14ac:dyDescent="0.25"/>
    <row r="258" spans="13:37" x14ac:dyDescent="0.25">
      <c r="M258" s="2" t="s">
        <v>203</v>
      </c>
      <c r="N258" s="46">
        <v>1</v>
      </c>
      <c r="Q258" s="50"/>
      <c r="S258" s="37">
        <f>N258*Q258</f>
        <v>0</v>
      </c>
      <c r="U258" s="8">
        <f>IF(OR($F$86&lt;80,$F$86=""),'4 Efterafgrøder'!$O$95,'4 Efterafgrøder'!$P$95)</f>
        <v>1900</v>
      </c>
      <c r="V258" s="8">
        <f>Q258*U258</f>
        <v>0</v>
      </c>
      <c r="W258" s="2">
        <f>IF($F$86&lt;80,45,72)</f>
        <v>45</v>
      </c>
      <c r="X258" s="2">
        <f>Q258*W258</f>
        <v>0</v>
      </c>
      <c r="Z258" s="2" t="s">
        <v>203</v>
      </c>
      <c r="AA258" s="46">
        <v>1</v>
      </c>
      <c r="AD258" s="50"/>
      <c r="AF258" s="37">
        <f>AA258*AD258</f>
        <v>0</v>
      </c>
      <c r="AH258" s="8">
        <f>IF(OR($F$86&lt;80,$F$86=""),'4 Efterafgrøder'!$O$95,'4 Efterafgrøder'!$P$95)</f>
        <v>1900</v>
      </c>
      <c r="AI258" s="8">
        <f>AD258*AH258</f>
        <v>0</v>
      </c>
      <c r="AJ258" s="2">
        <f>IF($F$86&lt;80,45,72)</f>
        <v>45</v>
      </c>
      <c r="AK258" s="2">
        <f>AD258*AJ258</f>
        <v>0</v>
      </c>
    </row>
    <row r="259" spans="13:37" ht="5" customHeight="1" x14ac:dyDescent="0.25"/>
    <row r="260" spans="13:37" x14ac:dyDescent="0.25">
      <c r="M260" s="2" t="s">
        <v>67</v>
      </c>
      <c r="N260" s="46">
        <v>0.5</v>
      </c>
      <c r="Q260" s="50"/>
      <c r="S260" s="37">
        <f>N260*Q260</f>
        <v>0</v>
      </c>
      <c r="U260" s="8">
        <f>IF(OR($F$86&lt;80,$F$86=""),'6 Tidlig såning'!$M$17,'6 Tidlig såning'!$N$17)</f>
        <v>-250</v>
      </c>
      <c r="V260" s="8">
        <f>Q260*U260</f>
        <v>0</v>
      </c>
      <c r="Z260" s="2" t="s">
        <v>67</v>
      </c>
      <c r="AA260" s="46">
        <v>0.5</v>
      </c>
      <c r="AD260" s="50"/>
      <c r="AF260" s="37">
        <f>AA260*AD260</f>
        <v>0</v>
      </c>
      <c r="AH260" s="8">
        <f>IF(OR($F$86&lt;80,$F$86=""),'6 Tidlig såning'!$M$17,'6 Tidlig såning'!$N$17)</f>
        <v>-250</v>
      </c>
      <c r="AI260" s="8">
        <f>AD260*AH260</f>
        <v>0</v>
      </c>
    </row>
    <row r="261" spans="13:37" ht="5" customHeight="1" x14ac:dyDescent="0.25"/>
    <row r="262" spans="13:37" x14ac:dyDescent="0.25">
      <c r="M262" s="2" t="s">
        <v>77</v>
      </c>
      <c r="N262" s="46">
        <v>0.5</v>
      </c>
      <c r="Q262" s="50"/>
      <c r="S262" s="37">
        <f>N262*Q262</f>
        <v>0</v>
      </c>
      <c r="U262" s="8">
        <f>IF(OR($F$86&lt;80,$F$86=""),'5 Mellemafgrøder'!$M$39,'5 Mellemafgrøder'!$N$39)</f>
        <v>-250</v>
      </c>
      <c r="V262" s="8">
        <f>Q262*U262</f>
        <v>0</v>
      </c>
      <c r="Z262" s="2" t="s">
        <v>77</v>
      </c>
      <c r="AA262" s="46">
        <v>0.5</v>
      </c>
      <c r="AD262" s="50"/>
      <c r="AF262" s="37">
        <f>AA262*AD262</f>
        <v>0</v>
      </c>
      <c r="AH262" s="8">
        <f>IF(OR($F$86&lt;80,$F$86=""),'5 Mellemafgrøder'!$M$39,'5 Mellemafgrøder'!$N$39)</f>
        <v>-250</v>
      </c>
      <c r="AI262" s="8">
        <f>AD262*AH262</f>
        <v>0</v>
      </c>
    </row>
    <row r="263" spans="13:37" ht="5" customHeight="1" x14ac:dyDescent="0.25"/>
    <row r="264" spans="13:37" x14ac:dyDescent="0.25">
      <c r="M264" s="2" t="s">
        <v>76</v>
      </c>
      <c r="N264" s="46">
        <v>0.5</v>
      </c>
      <c r="Q264" s="50"/>
      <c r="S264" s="37">
        <f>N264*Q264</f>
        <v>0</v>
      </c>
      <c r="U264" s="8">
        <f>IF(OR($F$86&lt;80,$F$86=""),'5 Mellemafgrøder'!$M$17,'5 Mellemafgrøder'!$N$17)</f>
        <v>200</v>
      </c>
      <c r="V264" s="8">
        <f>Q264*U264</f>
        <v>0</v>
      </c>
      <c r="Z264" s="2" t="s">
        <v>76</v>
      </c>
      <c r="AA264" s="46">
        <v>0.5</v>
      </c>
      <c r="AD264" s="50"/>
      <c r="AF264" s="37">
        <f>AA264*AD264</f>
        <v>0</v>
      </c>
      <c r="AH264" s="8">
        <f>IF(OR($F$86&lt;80,$F$86=""),'5 Mellemafgrøder'!$M$17,'5 Mellemafgrøder'!$N$17)</f>
        <v>200</v>
      </c>
      <c r="AI264" s="8">
        <f>AD264*AH264</f>
        <v>0</v>
      </c>
    </row>
    <row r="265" spans="13:37" ht="5" customHeight="1" x14ac:dyDescent="0.25"/>
    <row r="266" spans="13:37" x14ac:dyDescent="0.25">
      <c r="M266" s="2" t="s">
        <v>205</v>
      </c>
      <c r="N266" s="46">
        <v>4</v>
      </c>
      <c r="Q266" s="50"/>
      <c r="S266" s="37">
        <f>N266*Q266</f>
        <v>0</v>
      </c>
      <c r="U266" s="8">
        <f>IF(OR($F$86&lt;80,$F$86=""),'7 Brak v vandløb'!$U$18,'7 Brak v vandløb'!$V$18)</f>
        <v>1831</v>
      </c>
      <c r="V266" s="8">
        <f>Q266*U266</f>
        <v>0</v>
      </c>
      <c r="Z266" s="2" t="s">
        <v>205</v>
      </c>
      <c r="AA266" s="46">
        <v>4</v>
      </c>
      <c r="AD266" s="50"/>
      <c r="AF266" s="37">
        <f>AA266*AD266</f>
        <v>0</v>
      </c>
      <c r="AH266" s="8">
        <f>IF(OR($F$86&lt;80,$F$86=""),'7 Brak v vandløb'!$U$18,'7 Brak v vandløb'!$V$18)</f>
        <v>1831</v>
      </c>
      <c r="AI266" s="8">
        <f>AD266*AH266</f>
        <v>0</v>
      </c>
    </row>
    <row r="267" spans="13:37" ht="5" customHeight="1" x14ac:dyDescent="0.25"/>
    <row r="268" spans="13:37" x14ac:dyDescent="0.25">
      <c r="M268" s="2" t="s">
        <v>206</v>
      </c>
      <c r="N268" s="46">
        <v>4</v>
      </c>
      <c r="Q268" s="50"/>
      <c r="S268" s="37">
        <f>N268*Q268</f>
        <v>0</v>
      </c>
      <c r="U268" s="8">
        <f>IF(OR($F$86&lt;80,$F$86=""),'7 Brak v vandløb'!$W$18,'7 Brak v vandløb'!$X$18)</f>
        <v>3133</v>
      </c>
      <c r="V268" s="8">
        <f>Q268*U268</f>
        <v>0</v>
      </c>
      <c r="Z268" s="2" t="s">
        <v>206</v>
      </c>
      <c r="AA268" s="46">
        <v>4</v>
      </c>
      <c r="AD268" s="50"/>
      <c r="AF268" s="37">
        <f>AA268*AD268</f>
        <v>0</v>
      </c>
      <c r="AH268" s="8">
        <f>IF(OR($F$86&lt;80,$F$86=""),'7 Brak v vandløb'!$W$18,'7 Brak v vandløb'!$X$18)</f>
        <v>3133</v>
      </c>
      <c r="AI268" s="8">
        <f>AD268*AH268</f>
        <v>0</v>
      </c>
    </row>
    <row r="269" spans="13:37" ht="5" customHeight="1" x14ac:dyDescent="0.25"/>
    <row r="270" spans="13:37" x14ac:dyDescent="0.25">
      <c r="M270" s="2" t="s">
        <v>207</v>
      </c>
      <c r="N270" s="46">
        <v>4</v>
      </c>
      <c r="Q270" s="50"/>
      <c r="S270" s="37">
        <f>N270*Q270</f>
        <v>0</v>
      </c>
      <c r="U270" s="8">
        <f>IF(OR($F$86&lt;80,$F$86=""),'7 Brak v vandløb'!$Y$18,'7 Brak v vandløb'!$Z$18)</f>
        <v>5178</v>
      </c>
      <c r="V270" s="8">
        <f>Q270*U270</f>
        <v>0</v>
      </c>
      <c r="Z270" s="2" t="s">
        <v>207</v>
      </c>
      <c r="AA270" s="46">
        <v>4</v>
      </c>
      <c r="AD270" s="50"/>
      <c r="AF270" s="37">
        <f>AA270*AD270</f>
        <v>0</v>
      </c>
      <c r="AH270" s="8">
        <f>IF(OR($F$86&lt;80,$F$86=""),'7 Brak v vandløb'!$Y$18,'7 Brak v vandløb'!$Z$18)</f>
        <v>5178</v>
      </c>
      <c r="AI270" s="8">
        <f>AD270*AH270</f>
        <v>0</v>
      </c>
    </row>
    <row r="271" spans="13:37" ht="5" customHeight="1" x14ac:dyDescent="0.25"/>
    <row r="272" spans="13:37" x14ac:dyDescent="0.25">
      <c r="M272" s="2" t="s">
        <v>208</v>
      </c>
      <c r="N272" s="46">
        <v>4</v>
      </c>
      <c r="Q272" s="50"/>
      <c r="S272" s="37">
        <f>N272*Q272</f>
        <v>0</v>
      </c>
      <c r="U272" s="8">
        <f>IF(OR($F$86&lt;80,$F$86=""),'7 Brak v vandløb'!$AA$18,'7 Brak v vandløb'!$AB$18)</f>
        <v>5592</v>
      </c>
      <c r="V272" s="8">
        <f>Q272*U272</f>
        <v>0</v>
      </c>
      <c r="Z272" s="2" t="s">
        <v>208</v>
      </c>
      <c r="AA272" s="46">
        <v>4</v>
      </c>
      <c r="AD272" s="50"/>
      <c r="AF272" s="37">
        <f>AA272*AD272</f>
        <v>0</v>
      </c>
      <c r="AH272" s="8">
        <f>IF(OR($F$86&lt;80,$F$86=""),'7 Brak v vandløb'!$AA$18,'7 Brak v vandløb'!$AB$18)</f>
        <v>5592</v>
      </c>
      <c r="AI272" s="8">
        <f>AD272*AH272</f>
        <v>0</v>
      </c>
    </row>
    <row r="273" spans="13:37" ht="5" customHeight="1" x14ac:dyDescent="0.25"/>
    <row r="274" spans="13:37" x14ac:dyDescent="0.25">
      <c r="M274" s="2" t="s">
        <v>209</v>
      </c>
      <c r="N274" s="46">
        <v>1</v>
      </c>
      <c r="Q274" s="50"/>
      <c r="S274" s="37">
        <f>N274*Q274</f>
        <v>0</v>
      </c>
      <c r="U274" s="8">
        <f>IF(OR($F$86&lt;80,$F$86=""),'8 Brak'!$U$20,'8 Brak'!$V$20)</f>
        <v>3331</v>
      </c>
      <c r="V274" s="8">
        <f>Q274*U274</f>
        <v>0</v>
      </c>
      <c r="Z274" s="2" t="s">
        <v>209</v>
      </c>
      <c r="AA274" s="46">
        <v>1</v>
      </c>
      <c r="AD274" s="50"/>
      <c r="AF274" s="37">
        <f>AA274*AD274</f>
        <v>0</v>
      </c>
      <c r="AH274" s="8">
        <f>IF(OR($F$86&lt;80,$F$86=""),'8 Brak'!$U$20,'8 Brak'!$V$20)</f>
        <v>3331</v>
      </c>
      <c r="AI274" s="8">
        <f>AD274*AH274</f>
        <v>0</v>
      </c>
    </row>
    <row r="275" spans="13:37" ht="5" customHeight="1" x14ac:dyDescent="0.25"/>
    <row r="276" spans="13:37" x14ac:dyDescent="0.25">
      <c r="M276" s="2" t="s">
        <v>210</v>
      </c>
      <c r="N276" s="46">
        <v>1</v>
      </c>
      <c r="Q276" s="50"/>
      <c r="S276" s="37">
        <f>N276*Q276</f>
        <v>0</v>
      </c>
      <c r="U276" s="8">
        <f>IF(OR($F$86&lt;80,$F$86=""),'8 Brak'!$W$20,'8 Brak'!$X$20)</f>
        <v>4633</v>
      </c>
      <c r="V276" s="8">
        <f>Q276*U276</f>
        <v>0</v>
      </c>
      <c r="Z276" s="2" t="s">
        <v>210</v>
      </c>
      <c r="AA276" s="46">
        <v>1</v>
      </c>
      <c r="AD276" s="50"/>
      <c r="AF276" s="37">
        <f>AA276*AD276</f>
        <v>0</v>
      </c>
      <c r="AH276" s="8">
        <f>IF(OR($F$86&lt;80,$F$86=""),'8 Brak'!$W$20,'8 Brak'!$X$20)</f>
        <v>4633</v>
      </c>
      <c r="AI276" s="8">
        <f>AD276*AH276</f>
        <v>0</v>
      </c>
    </row>
    <row r="277" spans="13:37" ht="5" customHeight="1" x14ac:dyDescent="0.25"/>
    <row r="278" spans="13:37" x14ac:dyDescent="0.25">
      <c r="M278" s="2" t="s">
        <v>211</v>
      </c>
      <c r="N278" s="46">
        <v>1</v>
      </c>
      <c r="Q278" s="50"/>
      <c r="S278" s="37">
        <f>N278*Q278</f>
        <v>0</v>
      </c>
      <c r="U278" s="8">
        <f>IF(OR($F$86&lt;80,$F$86=""),'8 Brak'!$Y$20,'8 Brak'!$Z$20)</f>
        <v>6678</v>
      </c>
      <c r="V278" s="8">
        <f>Q278*U278</f>
        <v>0</v>
      </c>
      <c r="Z278" s="2" t="s">
        <v>211</v>
      </c>
      <c r="AA278" s="46">
        <v>1</v>
      </c>
      <c r="AD278" s="50"/>
      <c r="AF278" s="37">
        <f>AA278*AD278</f>
        <v>0</v>
      </c>
      <c r="AH278" s="8">
        <f>IF(OR($F$86&lt;80,$F$86=""),'8 Brak'!$Y$20,'8 Brak'!$Z$20)</f>
        <v>6678</v>
      </c>
      <c r="AI278" s="8">
        <f>AD278*AH278</f>
        <v>0</v>
      </c>
    </row>
    <row r="279" spans="13:37" ht="5" customHeight="1" x14ac:dyDescent="0.25"/>
    <row r="280" spans="13:37" x14ac:dyDescent="0.25">
      <c r="M280" s="2" t="s">
        <v>212</v>
      </c>
      <c r="N280" s="46">
        <v>1</v>
      </c>
      <c r="Q280" s="50"/>
      <c r="S280" s="37">
        <f>N280*Q280</f>
        <v>0</v>
      </c>
      <c r="U280" s="8">
        <f>IF(OR($F$86&lt;80,$F$86=""),'8 Brak'!$AA$20,'8 Brak'!$AB$20)</f>
        <v>7092</v>
      </c>
      <c r="V280" s="8">
        <f>Q280*U280</f>
        <v>0</v>
      </c>
      <c r="Z280" s="2" t="s">
        <v>212</v>
      </c>
      <c r="AA280" s="46">
        <v>1</v>
      </c>
      <c r="AD280" s="50"/>
      <c r="AF280" s="37">
        <f>AA280*AD280</f>
        <v>0</v>
      </c>
      <c r="AH280" s="8">
        <f>IF(OR($F$86&lt;80,$F$86=""),'8 Brak'!$AA$20,'8 Brak'!$AB$20)</f>
        <v>7092</v>
      </c>
      <c r="AI280" s="8">
        <f>AD280*AH280</f>
        <v>0</v>
      </c>
    </row>
    <row r="281" spans="13:37" ht="5" customHeight="1" x14ac:dyDescent="0.25"/>
    <row r="282" spans="13:37" x14ac:dyDescent="0.25">
      <c r="N282" s="11" t="s">
        <v>62</v>
      </c>
      <c r="O282" s="11"/>
      <c r="P282" s="11"/>
      <c r="Q282" s="11" t="s">
        <v>218</v>
      </c>
      <c r="R282" s="11"/>
      <c r="S282" s="11" t="s">
        <v>63</v>
      </c>
      <c r="U282" s="11" t="s">
        <v>17</v>
      </c>
      <c r="V282" s="11" t="s">
        <v>224</v>
      </c>
      <c r="X282" s="11" t="s">
        <v>227</v>
      </c>
      <c r="AA282" s="11" t="s">
        <v>62</v>
      </c>
      <c r="AB282" s="11"/>
      <c r="AC282" s="11"/>
      <c r="AD282" s="11" t="s">
        <v>218</v>
      </c>
      <c r="AE282" s="11"/>
      <c r="AF282" s="11" t="s">
        <v>63</v>
      </c>
      <c r="AH282" s="11" t="s">
        <v>17</v>
      </c>
      <c r="AI282" s="11" t="s">
        <v>224</v>
      </c>
      <c r="AK282" s="11" t="s">
        <v>227</v>
      </c>
    </row>
    <row r="283" spans="13:37" ht="5" customHeight="1" x14ac:dyDescent="0.25"/>
    <row r="284" spans="13:37" x14ac:dyDescent="0.25">
      <c r="M284" s="2" t="s">
        <v>216</v>
      </c>
      <c r="N284" s="4" t="str">
        <f>_xlfn.CONCAT(IF(OR($F$86="",$F$86&lt;80),93,150)," N")</f>
        <v>93 N</v>
      </c>
      <c r="Q284" s="8">
        <f>IF(N284="150 N",S284*150,S284*93)+X284</f>
        <v>0</v>
      </c>
      <c r="S284" s="37">
        <f>IF(($F$112-S220-S222-S224-S226-S228-S230-S232-S234-S236-S238-S240-S242-S244-S246-S248-S250-S252-S254-S256-S258-S260-S262-S264-S266-S268-S270-S272-S274-S276-S278-S280)&lt;0,0,($F$112-S220-S222-S224-S226-S228-S230-S232-S234-S236-S238-S240-S242-S244-S246-S248-S250-S252-S254-S256-S258-S260-S262-S264-S266-S268-S270-S272-S274-S276-S278-S280))</f>
        <v>0</v>
      </c>
      <c r="X284" s="8">
        <f>X228+X230+X232+X234+X236+X238+X248+X250+X252+X254+X256+X258</f>
        <v>0</v>
      </c>
      <c r="Z284" s="2" t="s">
        <v>216</v>
      </c>
      <c r="AA284" s="4" t="str">
        <f>_xlfn.CONCAT(IF(OR($F$86="",$F$86&lt;80),93,150)," N")</f>
        <v>93 N</v>
      </c>
      <c r="AD284" s="8">
        <f>IF(AA284="150 N",AF284*150,AF284*93)+AK284</f>
        <v>0</v>
      </c>
      <c r="AF284" s="37">
        <f>IF(($F$112-AF220-AF222-AF224-AF226-AF228-AF230-AF232-AF234-AF236-AF238-AF240-AF242-AF244-AF246-AF248-AF250-AF252-AF254-AF256-AF258-AF260-AF262-AF264-AF266-AF268-AF270-AF272-AF274-AF276-AF278-AF280)&lt;0,0,($F$112-AF220-AF222-AF224-AF226-AF228-AF230-AF232-AF234-AF236-AF238-AF240-AF242-AF244-AF246-AF248-AF250-AF252-AF254-AF256-AF258-AF260-AF262-AF264-AF266-AF268-AF270-AF272-AF274-AF276-AF278-AF280))</f>
        <v>0</v>
      </c>
      <c r="AK284" s="8">
        <f>AK228+AK230+AK232+AK234+AK236+AK238+AK248+AK250+AK252+AK254+AK256+AK258</f>
        <v>0</v>
      </c>
    </row>
    <row r="285" spans="13:37" ht="5" customHeight="1" x14ac:dyDescent="0.25"/>
    <row r="286" spans="13:37" x14ac:dyDescent="0.25">
      <c r="M286" s="2" t="s">
        <v>215</v>
      </c>
      <c r="Q286" s="8">
        <f>IF(($C$90*0.05)&gt;Q284,Q284,$C$90*0.05)-Q200</f>
        <v>0</v>
      </c>
      <c r="S286" s="37">
        <f>Q286/IF(OR($F$86="",$F$86&lt;80),93,150)</f>
        <v>0</v>
      </c>
      <c r="U286" s="8">
        <f>IF(AND(OrgGodn&lt;80,OrgGodn=""),IF(AND(Protkorn="Ja",Kornkøb="Ja"),'9 Kvotereduktion'!$I$34,IF(Protkorn="Ja",'9 Kvotereduktion'!$H$34,'9 Kvotereduktion'!$G$34)),IF(AND(Protkorn="Ja",Kornkøb="Ja"),'9 Kvotereduktion'!$M$34,IF(Protkorn="Ja",'9 Kvotereduktion'!$L$34,'9 Kvotereduktion'!$K$34)))</f>
        <v>0</v>
      </c>
      <c r="V286" s="8">
        <f>S286*U286</f>
        <v>0</v>
      </c>
      <c r="Z286" s="2" t="s">
        <v>215</v>
      </c>
      <c r="AD286" s="8">
        <f>IF(($C$90*0.05)&gt;AD284,AD284,$C$90*0.05)-AD200</f>
        <v>0</v>
      </c>
      <c r="AF286" s="37">
        <f>AD286/IF(OR($F$86="",$F$86&lt;80),93,150)</f>
        <v>0</v>
      </c>
      <c r="AH286" s="8">
        <f>IF(AND(OrgGodn&lt;80,OrgGodn=""),IF(AND(Protkorn="Ja",Kornkøb="Ja"),'9 Kvotereduktion'!$I$34,IF(Protkorn="Ja",'9 Kvotereduktion'!$H$34,'9 Kvotereduktion'!$G$34)),IF(AND(Protkorn="Ja",Kornkøb="Ja"),'9 Kvotereduktion'!$M$34,IF(Protkorn="Ja",'9 Kvotereduktion'!$L$34,'9 Kvotereduktion'!$K$34)))</f>
        <v>0</v>
      </c>
      <c r="AI286" s="8">
        <f>AF286*AH286</f>
        <v>0</v>
      </c>
    </row>
    <row r="287" spans="13:37" ht="5" customHeight="1" x14ac:dyDescent="0.25"/>
    <row r="288" spans="13:37" x14ac:dyDescent="0.25">
      <c r="M288" s="2" t="s">
        <v>217</v>
      </c>
      <c r="Q288" s="8">
        <f>IF(Q284&lt;=Q286,0,IF((Q284-Q286)&gt;$C$90*0.05,$C$90*0.05,Q284-Q286))-Q202</f>
        <v>0</v>
      </c>
      <c r="S288" s="37">
        <f>Q288/IF(OR($F$86="",$F$86&lt;80),93,150)</f>
        <v>0</v>
      </c>
      <c r="T288" s="13"/>
      <c r="U288" s="8">
        <f>IF(AND(OrgGodn&lt;80,OrgGodn=""),IF(AND(Protkorn="Ja",Kornkøb="Ja"),'9 Kvotereduktion'!$I$35,IF(Protkorn="Ja",'9 Kvotereduktion'!$H$35,'9 Kvotereduktion'!$G$35)),IF(AND(Protkorn="Ja",Kornkøb="Ja"),'9 Kvotereduktion'!$M$35,IF(Protkorn="Ja",'9 Kvotereduktion'!$L$35,'9 Kvotereduktion'!$K$35)))</f>
        <v>0</v>
      </c>
      <c r="V288" s="8">
        <f>S288*U288</f>
        <v>0</v>
      </c>
      <c r="Z288" s="2" t="s">
        <v>217</v>
      </c>
      <c r="AD288" s="8">
        <f>IF(AD284&lt;=AD286,0,IF((AD284-AD286)&gt;$C$90*0.05,$C$90*0.05,AD284-AD286))-AD202</f>
        <v>0</v>
      </c>
      <c r="AF288" s="37">
        <f>AD288/IF(OR($F$86="",$F$86&lt;80),93,150)</f>
        <v>0</v>
      </c>
      <c r="AG288" s="13"/>
      <c r="AH288" s="8">
        <f>IF(AND(OrgGodn&lt;80,OrgGodn=""),IF(AND(Protkorn="Ja",Kornkøb="Ja"),'9 Kvotereduktion'!$I$35,IF(Protkorn="Ja",'9 Kvotereduktion'!$H$35,'9 Kvotereduktion'!$G$35)),IF(AND(Protkorn="Ja",Kornkøb="Ja"),'9 Kvotereduktion'!$M$35,IF(Protkorn="Ja",'9 Kvotereduktion'!$L$35,'9 Kvotereduktion'!$K$35)))</f>
        <v>0</v>
      </c>
      <c r="AI288" s="8">
        <f>AF288*AH288</f>
        <v>0</v>
      </c>
    </row>
    <row r="289" spans="13:35" ht="5" customHeight="1" x14ac:dyDescent="0.25">
      <c r="M289" s="13"/>
      <c r="N289" s="13"/>
      <c r="O289" s="13"/>
      <c r="P289" s="13"/>
      <c r="Q289" s="13"/>
      <c r="R289" s="13"/>
      <c r="S289" s="13"/>
      <c r="T289" s="13"/>
      <c r="U289" s="13"/>
      <c r="Z289" s="13"/>
      <c r="AA289" s="13"/>
      <c r="AB289" s="13"/>
      <c r="AC289" s="13"/>
      <c r="AD289" s="13"/>
      <c r="AE289" s="13"/>
      <c r="AF289" s="13"/>
      <c r="AG289" s="13"/>
      <c r="AH289" s="13"/>
    </row>
    <row r="290" spans="13:35" x14ac:dyDescent="0.25">
      <c r="M290" s="13" t="s">
        <v>219</v>
      </c>
      <c r="N290" s="47"/>
      <c r="O290" s="13"/>
      <c r="P290" s="13"/>
      <c r="Q290" s="8">
        <f>IF($Q$284&lt;=($Q$286+$Q$288),0,IF(($Q$284-$Q$286-$Q$288)&gt;$C$90*0.05,$C$90*0.05,$Q$284-$Q$286-$Q$288))-Q204</f>
        <v>0</v>
      </c>
      <c r="S290" s="37">
        <f>Q290/IF(OR($F$86="",$F$86&lt;80),93,150)</f>
        <v>0</v>
      </c>
      <c r="T290" s="13"/>
      <c r="U290" s="8">
        <f>IF(AND(OrgGodn&lt;80,OrgGodn=""),IF(AND(Protkorn="Ja",Kornkøb="Ja"),'9 Kvotereduktion'!$I$36,IF(Protkorn="Ja",'9 Kvotereduktion'!$H$36,'9 Kvotereduktion'!$G$36)),IF(AND(Protkorn="Ja",Kornkøb="Ja"),'9 Kvotereduktion'!$M$36,IF(Protkorn="Ja",'9 Kvotereduktion'!$L$36,'9 Kvotereduktion'!$K$36)))</f>
        <v>0</v>
      </c>
      <c r="V290" s="8">
        <f>S290*U290</f>
        <v>0</v>
      </c>
      <c r="Z290" s="13" t="s">
        <v>219</v>
      </c>
      <c r="AA290" s="47"/>
      <c r="AB290" s="13"/>
      <c r="AC290" s="13"/>
      <c r="AD290" s="8">
        <f>IF($AD$284&lt;=($AD$286+$AD$288),0,IF(($AD$284-$AD$286-$AD$288)&gt;$C$90*0.05,$C$90*0.05,$AD$284-$AD$286-$AD$288))-AD204</f>
        <v>0</v>
      </c>
      <c r="AF290" s="37">
        <f>AD290/IF(OR($F$86="",$F$86&lt;80),93,150)</f>
        <v>0</v>
      </c>
      <c r="AG290" s="13"/>
      <c r="AH290" s="8">
        <f>IF(AND(OrgGodn&lt;80,OrgGodn=""),IF(AND(Protkorn="Ja",Kornkøb="Ja"),'9 Kvotereduktion'!$I$36,IF(Protkorn="Ja",'9 Kvotereduktion'!$H$36,'9 Kvotereduktion'!$G$36)),IF(AND(Protkorn="Ja",Kornkøb="Ja"),'9 Kvotereduktion'!$M$36,IF(Protkorn="Ja",'9 Kvotereduktion'!$L$36,'9 Kvotereduktion'!$K$36)))</f>
        <v>0</v>
      </c>
      <c r="AI290" s="8">
        <f>AF290*AH290</f>
        <v>0</v>
      </c>
    </row>
    <row r="291" spans="13:35" ht="5" customHeight="1" x14ac:dyDescent="0.25"/>
    <row r="292" spans="13:35" x14ac:dyDescent="0.25">
      <c r="M292" s="13" t="s">
        <v>228</v>
      </c>
      <c r="N292" s="47"/>
      <c r="O292" s="13"/>
      <c r="P292" s="13"/>
      <c r="Q292" s="8">
        <f>IF($Q$284&lt;=($Q$286+$Q$288+$Q$290),0,IF(($Q$284-$Q$286-$Q$288-$Q$290)&gt;$C$90*0.05,$C$90*0.05,$Q$284-$Q$286-$Q$288-$Q$290))</f>
        <v>0</v>
      </c>
      <c r="S292" s="37">
        <f>Q292/IF(OR($F$86="",$F$86&lt;80),93,150)</f>
        <v>0</v>
      </c>
      <c r="T292" s="13"/>
      <c r="U292" s="8">
        <f>IF(AND(OrgGodn&lt;80,OrgGodn=""),IF(AND(Protkorn="Ja",Kornkøb="Ja"),'9 Kvotereduktion'!$I$37,IF(Protkorn="Ja",'9 Kvotereduktion'!$H$37,'9 Kvotereduktion'!$G$37)),IF(AND(Protkorn="Ja",Kornkøb="Ja"),'9 Kvotereduktion'!$M$37,IF(Protkorn="Ja",'9 Kvotereduktion'!$L$37,'9 Kvotereduktion'!$K$37)))</f>
        <v>0</v>
      </c>
      <c r="V292" s="8">
        <f>S292*U292</f>
        <v>0</v>
      </c>
      <c r="Z292" s="13" t="s">
        <v>228</v>
      </c>
      <c r="AA292" s="47"/>
      <c r="AB292" s="13"/>
      <c r="AC292" s="13"/>
      <c r="AD292" s="8">
        <f>IF($AD$284&lt;=($AD$286+$AD$288+$AD$290),0,IF(($AD$284-$AD$286-$AD$288-$AD$290)&gt;$C$90*0.05,$C$90*0.05,$AD$284-$AD$286-$AD$288-$AD$290))</f>
        <v>0</v>
      </c>
      <c r="AF292" s="37">
        <f>AD292/IF(OR($F$86="",$F$86&lt;80),93,150)</f>
        <v>0</v>
      </c>
      <c r="AG292" s="13"/>
      <c r="AH292" s="8">
        <f>IF(AND(OrgGodn&lt;80,OrgGodn=""),IF(AND(Protkorn="Ja",Kornkøb="Ja"),'9 Kvotereduktion'!$I$37,IF(Protkorn="Ja",'9 Kvotereduktion'!$H$37,'9 Kvotereduktion'!$G$37)),IF(AND(Protkorn="Ja",Kornkøb="Ja"),'9 Kvotereduktion'!$M$37,IF(Protkorn="Ja",'9 Kvotereduktion'!$L$37,'9 Kvotereduktion'!$K$37)))</f>
        <v>0</v>
      </c>
      <c r="AI292" s="8">
        <f>AF292*AH292</f>
        <v>0</v>
      </c>
    </row>
    <row r="293" spans="13:35" ht="5" customHeight="1" x14ac:dyDescent="0.25"/>
    <row r="294" spans="13:35" x14ac:dyDescent="0.25">
      <c r="M294" s="13" t="s">
        <v>229</v>
      </c>
      <c r="N294" s="47"/>
      <c r="O294" s="13"/>
      <c r="P294" s="13"/>
      <c r="Q294" s="8">
        <f>IF($Q$284&lt;=($Q$286+$Q$288+$Q$290+$Q$292),0,IF(($Q$284-$Q$286-$Q$288-$Q$290-$Q$292)&gt;$C$90*0.05,$C$90*0.05,$Q$284-$Q$286-$Q$288-$Q$290-$Q$292))</f>
        <v>0</v>
      </c>
      <c r="S294" s="37">
        <f>Q294/IF(OR($F$86="",$F$86&lt;80),93,150)</f>
        <v>0</v>
      </c>
      <c r="T294" s="13"/>
      <c r="U294" s="8">
        <f>IF(AND(OrgGodn&lt;80,OrgGodn=""),IF(AND(Protkorn="Ja",Kornkøb="Ja"),'9 Kvotereduktion'!$I$38,IF(Protkorn="Ja",'9 Kvotereduktion'!$H$38,'9 Kvotereduktion'!$G$38)),IF(AND(Protkorn="Ja",Kornkøb="Ja"),'9 Kvotereduktion'!$M$38,IF(Protkorn="Ja",'9 Kvotereduktion'!$L$38,'9 Kvotereduktion'!$K$38)))</f>
        <v>0</v>
      </c>
      <c r="V294" s="8">
        <f>S294*U294</f>
        <v>0</v>
      </c>
      <c r="Z294" s="13" t="s">
        <v>229</v>
      </c>
      <c r="AA294" s="47"/>
      <c r="AB294" s="13"/>
      <c r="AC294" s="13"/>
      <c r="AD294" s="8">
        <f>IF($AD$284&lt;=($AD$286+$AD$288+$AD$290+$AD$292),0,IF(($AD$284-$AD$286-$AD$288-$AD$290-$AD$292)&gt;$C$90*0.05,$C$90*0.05,$AD$284-$AD$286-$AD$288-$AD$290-$AD$292))</f>
        <v>0</v>
      </c>
      <c r="AF294" s="37">
        <f>AD294/IF(OR($F$86="",$F$86&lt;80),93,150)</f>
        <v>0</v>
      </c>
      <c r="AG294" s="13"/>
      <c r="AH294" s="8">
        <f>IF(AND(OrgGodn&lt;80,OrgGodn=""),IF(AND(Protkorn="Ja",Kornkøb="Ja"),'9 Kvotereduktion'!$I$38,IF(Protkorn="Ja",'9 Kvotereduktion'!$H$38,'9 Kvotereduktion'!$G$38)),IF(AND(Protkorn="Ja",Kornkøb="Ja"),'9 Kvotereduktion'!$M$38,IF(Protkorn="Ja",'9 Kvotereduktion'!$L$38,'9 Kvotereduktion'!$K$38)))</f>
        <v>0</v>
      </c>
      <c r="AI294" s="8">
        <f>AF294*AH294</f>
        <v>0</v>
      </c>
    </row>
    <row r="295" spans="13:35" ht="5" customHeight="1" x14ac:dyDescent="0.25">
      <c r="N295" s="4"/>
      <c r="Q295" s="8"/>
      <c r="S295" s="37"/>
      <c r="AA295" s="4"/>
      <c r="AD295" s="8"/>
      <c r="AF295" s="37"/>
    </row>
    <row r="296" spans="13:35" x14ac:dyDescent="0.25">
      <c r="M296" s="13" t="s">
        <v>230</v>
      </c>
      <c r="N296" s="47"/>
      <c r="O296" s="13"/>
      <c r="P296" s="13"/>
      <c r="Q296" s="8">
        <f>IF($Q$284&lt;=($Q$286+$Q$288+$Q$290+$Q$292+$Q$294),0,IF(($Q$284-$Q$286-$Q$288-$Q$290-$Q$292-$Q$294)&gt;$C$90*0.05,$C$90*0.05,$Q$284-$Q$286-$Q$288-$Q$290-$Q$292-$Q$294))</f>
        <v>0</v>
      </c>
      <c r="S296" s="37">
        <f>Q296/IF(OR($F$86="",$F$86&lt;80),93,150)</f>
        <v>0</v>
      </c>
      <c r="T296" s="13"/>
      <c r="U296" s="8">
        <f>IF(AND(OrgGodn&lt;80,OrgGodn=""),IF(AND(Protkorn="Ja",Kornkøb="Ja"),'9 Kvotereduktion'!$I$39,IF(Protkorn="Ja",'9 Kvotereduktion'!$H$39,'9 Kvotereduktion'!$G$39)),IF(AND(Protkorn="Ja",Kornkøb="Ja"),'9 Kvotereduktion'!$M$39,IF(Protkorn="Ja",'9 Kvotereduktion'!$L$39,'9 Kvotereduktion'!$K$39)))</f>
        <v>0</v>
      </c>
      <c r="V296" s="8">
        <f>S296*U296</f>
        <v>0</v>
      </c>
      <c r="Z296" s="13" t="s">
        <v>230</v>
      </c>
      <c r="AA296" s="47"/>
      <c r="AB296" s="13"/>
      <c r="AC296" s="13"/>
      <c r="AD296" s="8">
        <f>IF($AD$284&lt;=($AD$286+$AD$288+$AD$290+$AD$292+$AD$294),0,IF(($AD$284-$AD$286-$AD$288-$AD$290-$AD$292-$AD$294)&gt;$C$90*0.05,$C$90*0.05,$AD$284-$AD$286-$AD$288-$AD$290-$AD$292-$AD$294))</f>
        <v>0</v>
      </c>
      <c r="AF296" s="37">
        <f>AD296/IF(OR($F$86="",$F$86&lt;80),93,150)</f>
        <v>0</v>
      </c>
      <c r="AG296" s="13"/>
      <c r="AH296" s="8">
        <f>IF(AND(OrgGodn&lt;80,OrgGodn=""),IF(AND(Protkorn="Ja",Kornkøb="Ja"),'9 Kvotereduktion'!$I$39,IF(Protkorn="Ja",'9 Kvotereduktion'!$H$39,'9 Kvotereduktion'!$G$39)),IF(AND(Protkorn="Ja",Kornkøb="Ja"),'9 Kvotereduktion'!$M$39,IF(Protkorn="Ja",'9 Kvotereduktion'!$L$39,'9 Kvotereduktion'!$K$39)))</f>
        <v>0</v>
      </c>
      <c r="AI296" s="8">
        <f>AF296*AH296</f>
        <v>0</v>
      </c>
    </row>
    <row r="297" spans="13:35" ht="5" customHeight="1" x14ac:dyDescent="0.25"/>
    <row r="298" spans="13:35" x14ac:dyDescent="0.25">
      <c r="M298" s="13" t="s">
        <v>231</v>
      </c>
      <c r="N298" s="47"/>
      <c r="O298" s="13"/>
      <c r="P298" s="13"/>
      <c r="Q298" s="8">
        <f>IF($Q$284&lt;=($Q$286+$Q$288+$Q$290+$Q$292+$Q$294+$Q$296),0,IF(($Q$284-$Q$286-$Q$288-$Q$290-$Q$292-$Q$294-$Q$296)&gt;$C$90*0.05,$C$90*0.05,$Q$284-$Q$286-$Q$288-$Q$290-$Q$292-$Q$294-$Q$296))</f>
        <v>0</v>
      </c>
      <c r="S298" s="37">
        <f>Q298/IF(OR($F$86="",$F$86&lt;80),93,150)</f>
        <v>0</v>
      </c>
      <c r="T298" s="13"/>
      <c r="U298" s="8">
        <f>IF(AND(OrgGodn&lt;80,OrgGodn=""),IF(AND(Protkorn="Ja",Kornkøb="Ja"),'9 Kvotereduktion'!$I$40,IF(Protkorn="Ja",'9 Kvotereduktion'!$H$40,'9 Kvotereduktion'!$G$40)),IF(AND(Protkorn="Ja",Kornkøb="Ja"),'9 Kvotereduktion'!$M$40,IF(Protkorn="Ja",'9 Kvotereduktion'!$L$40,'9 Kvotereduktion'!$K$40)))</f>
        <v>0</v>
      </c>
      <c r="V298" s="8">
        <f>S298*U298</f>
        <v>0</v>
      </c>
      <c r="Z298" s="13" t="s">
        <v>231</v>
      </c>
      <c r="AA298" s="47"/>
      <c r="AB298" s="13"/>
      <c r="AC298" s="13"/>
      <c r="AD298" s="8">
        <f>IF($AD$284&lt;=($AD$286+$AD$288+$AD$290+$AD$292+$AD$294+$AD$296),0,IF(($AD$284-$AD$286-$AD$288-$AD$290-$AD$292-$AD$294-$AD$296)&gt;$C$90*0.05,$C$90*0.05,$AD$284-$AD$286-$AD$288-$AD$290-$AD$292-$AD$294-$AD$296))</f>
        <v>0</v>
      </c>
      <c r="AF298" s="37">
        <f>AD298/IF(OR($F$86="",$F$86&lt;80),93,150)</f>
        <v>0</v>
      </c>
      <c r="AG298" s="13"/>
      <c r="AH298" s="8">
        <f>IF(AND(OrgGodn&lt;80,OrgGodn=""),IF(AND(Protkorn="Ja",Kornkøb="Ja"),'9 Kvotereduktion'!$I$40,IF(Protkorn="Ja",'9 Kvotereduktion'!$H$40,'9 Kvotereduktion'!$G$40)),IF(AND(Protkorn="Ja",Kornkøb="Ja"),'9 Kvotereduktion'!$M$40,IF(Protkorn="Ja",'9 Kvotereduktion'!$L$40,'9 Kvotereduktion'!$K$40)))</f>
        <v>0</v>
      </c>
      <c r="AI298" s="8">
        <f>AF298*AH298</f>
        <v>0</v>
      </c>
    </row>
    <row r="299" spans="13:35" ht="5" customHeight="1" x14ac:dyDescent="0.25"/>
    <row r="300" spans="13:35" x14ac:dyDescent="0.25">
      <c r="M300" s="13" t="s">
        <v>232</v>
      </c>
      <c r="N300" s="47"/>
      <c r="O300" s="13"/>
      <c r="P300" s="13"/>
      <c r="Q300" s="8">
        <f>IF($Q$284&lt;=($Q$286+$Q$288+$Q$290+$Q$292+$Q$294+$Q$296+$Q$298),0,IF(($Q$284-$Q$286-$Q$288-$Q$290-$Q$292-$Q$294-$Q$296-$Q$298)&gt;$C$90*0.05,$C$90*0.05,$Q$284-$Q$286-$Q$288-$Q$290-$Q$292-$Q$294-$Q$296-$Q$298))</f>
        <v>0</v>
      </c>
      <c r="S300" s="37">
        <f>Q300/IF(OR($F$86="",$F$86&lt;80),93,150)</f>
        <v>0</v>
      </c>
      <c r="T300" s="13"/>
      <c r="U300" s="8">
        <f>IF(AND(OrgGodn&lt;80,OrgGodn=""),IF(AND(Protkorn="Ja",Kornkøb="Ja"),'9 Kvotereduktion'!$I$41,IF(Protkorn="Ja",'9 Kvotereduktion'!$H$41,'9 Kvotereduktion'!$G$41)),IF(AND(Protkorn="Ja",Kornkøb="Ja"),'9 Kvotereduktion'!$M$41,IF(Protkorn="Ja",'9 Kvotereduktion'!$L$41,'9 Kvotereduktion'!$K$41)))</f>
        <v>0</v>
      </c>
      <c r="V300" s="8">
        <f>S300*U300</f>
        <v>0</v>
      </c>
      <c r="Z300" s="13" t="s">
        <v>232</v>
      </c>
      <c r="AA300" s="47"/>
      <c r="AB300" s="13"/>
      <c r="AC300" s="13"/>
      <c r="AD300" s="8">
        <f>IF($AD$284&lt;=($AD$286+$AD$288+$AD$290+$AD$292+$AD$294+$AD$296+$AD$298),0,IF(($AD$284-$AD$286-$AD$288-$AD$290-$AD$292-$AD$294-$AD$296-$AD$298)&gt;$C$90*0.05,$C$90*0.05,$AD$284-$AD$286-$AD$288-$AD$290-$AD$292-$AD$294-$AD$296-$AD$298))</f>
        <v>0</v>
      </c>
      <c r="AF300" s="37">
        <f>AD300/IF(OR($F$86="",$F$86&lt;80),93,150)</f>
        <v>0</v>
      </c>
      <c r="AG300" s="13"/>
      <c r="AH300" s="8">
        <f>IF(AND(OrgGodn&lt;80,OrgGodn=""),IF(AND(Protkorn="Ja",Kornkøb="Ja"),'9 Kvotereduktion'!$I$41,IF(Protkorn="Ja",'9 Kvotereduktion'!$H$41,'9 Kvotereduktion'!$G$41)),IF(AND(Protkorn="Ja",Kornkøb="Ja"),'9 Kvotereduktion'!$M$41,IF(Protkorn="Ja",'9 Kvotereduktion'!$L$41,'9 Kvotereduktion'!$K$41)))</f>
        <v>0</v>
      </c>
      <c r="AI300" s="8">
        <f>AF300*AH300</f>
        <v>0</v>
      </c>
    </row>
    <row r="301" spans="13:35" ht="5" customHeight="1" x14ac:dyDescent="0.25"/>
    <row r="302" spans="13:35" x14ac:dyDescent="0.25">
      <c r="M302" s="13" t="s">
        <v>233</v>
      </c>
      <c r="N302" s="47"/>
      <c r="O302" s="13"/>
      <c r="P302" s="13"/>
      <c r="Q302" s="8">
        <f>IF($Q$284&lt;=($Q$286+$Q$288+$Q$290+$Q$292+$Q$294+$Q$296+$Q$298+$Q$300),0,IF(($Q$284-$Q$286-$Q$288-$Q$290-$Q$292-$Q$294-$Q$296-$Q$298-$Q$300)&gt;$C$90*0.05,$C$90*0.05,$Q$284-$Q$286-$Q$288-$Q$290-$Q$292-$Q$294-$Q$296-$Q$298-$Q$300))</f>
        <v>0</v>
      </c>
      <c r="S302" s="37">
        <f>Q302/IF(OR($F$86="",$F$86&lt;80),93,150)</f>
        <v>0</v>
      </c>
      <c r="T302" s="13"/>
      <c r="U302" s="8">
        <f>IF(AND(OrgGodn&lt;80,OrgGodn=""),IF(AND(Protkorn="Ja",Kornkøb="Ja"),'9 Kvotereduktion'!$I$42,IF(Protkorn="Ja",'9 Kvotereduktion'!$H$42,'9 Kvotereduktion'!$G$42)),IF(AND(Protkorn="Ja",Kornkøb="Ja"),'9 Kvotereduktion'!$M$42,IF(Protkorn="Ja",'9 Kvotereduktion'!$L$42,'9 Kvotereduktion'!$K$42)))</f>
        <v>0</v>
      </c>
      <c r="V302" s="8">
        <f>S302*U302</f>
        <v>0</v>
      </c>
      <c r="Z302" s="13" t="s">
        <v>233</v>
      </c>
      <c r="AA302" s="47"/>
      <c r="AB302" s="13"/>
      <c r="AC302" s="13"/>
      <c r="AD302" s="8">
        <f>IF($AD$284&lt;=($AD$286+$AD$288+$AD$290+$AD$292+$AD$294+$AD$296+$AD$298+$AD$300),0,IF(($AD$284-$AD$286-$AD$288-$AD$290-$AD$292-$AD$294-$AD$296-$AD$298-$AD$300)&gt;$C$90*0.05,$C$90*0.05,$AD$284-$AD$286-$AD$288-$AD$290-$AD$292-$AD$294-$AD$296-$AD$298-$AD$300))</f>
        <v>0</v>
      </c>
      <c r="AF302" s="37">
        <f>AD302/IF(OR($F$86="",$F$86&lt;80),93,150)</f>
        <v>0</v>
      </c>
      <c r="AG302" s="13"/>
      <c r="AH302" s="8">
        <f>IF(AND(OrgGodn&lt;80,OrgGodn=""),IF(AND(Protkorn="Ja",Kornkøb="Ja"),'9 Kvotereduktion'!$I$42,IF(Protkorn="Ja",'9 Kvotereduktion'!$H$42,'9 Kvotereduktion'!$G$42)),IF(AND(Protkorn="Ja",Kornkøb="Ja"),'9 Kvotereduktion'!$M$42,IF(Protkorn="Ja",'9 Kvotereduktion'!$L$42,'9 Kvotereduktion'!$K$42)))</f>
        <v>0</v>
      </c>
      <c r="AI302" s="8">
        <f>AF302*AH302</f>
        <v>0</v>
      </c>
    </row>
    <row r="303" spans="13:35" ht="5" customHeight="1" x14ac:dyDescent="0.25"/>
    <row r="304" spans="13:35" x14ac:dyDescent="0.25">
      <c r="M304" s="13" t="s">
        <v>234</v>
      </c>
      <c r="N304" s="47"/>
      <c r="O304" s="13"/>
      <c r="P304" s="13"/>
      <c r="Q304" s="8">
        <f>IF($Q$284&lt;=($Q$286+$Q$288+$Q$290+$Q$292+$Q$294+$Q$296+$Q$298+$Q$300+$Q$302),0,IF(($Q$284-$Q$286-$Q$288-$Q$290-$Q$292-$Q$294-$Q$296-$Q$298-$Q$300-$Q$302)&gt;$C$90*0.05,$C$90*0.05,$Q$284-$Q$286-$Q$288-$Q$290-$Q$292-$Q$294-$Q$296-$Q$298-$Q$300-$Q$302))</f>
        <v>0</v>
      </c>
      <c r="S304" s="37">
        <f>Q304/IF(OR($F$86="",$F$86&lt;80),93,150)</f>
        <v>0</v>
      </c>
      <c r="T304" s="13"/>
      <c r="U304" s="8">
        <f>IF(AND(OrgGodn&lt;80,OrgGodn=""),IF(AND(Protkorn="Ja",Kornkøb="Ja"),'9 Kvotereduktion'!$I$43,IF(Protkorn="Ja",'9 Kvotereduktion'!$H$43,'9 Kvotereduktion'!$G$43)),IF(AND(Protkorn="Ja",Kornkøb="Ja"),'9 Kvotereduktion'!$M$43,IF(Protkorn="Ja",'9 Kvotereduktion'!$L$43,'9 Kvotereduktion'!$K$43)))</f>
        <v>0</v>
      </c>
      <c r="V304" s="8">
        <f>S304*U304</f>
        <v>0</v>
      </c>
      <c r="Z304" s="13" t="s">
        <v>234</v>
      </c>
      <c r="AA304" s="47"/>
      <c r="AB304" s="13"/>
      <c r="AC304" s="13"/>
      <c r="AD304" s="8">
        <f>IF($AD$284&lt;=($AD$286+$AD$288+$AD$290+$AD$292+$AD$294+$AD$296+$AD$298+$AD$300+$AD$302),0,IF(($AD$284-$AD$286-$AD$288-$AD$290-$AD$292-$AD$294-$AD$296-$AD$298-$AD$300-$AD$302)&gt;$C$90*0.05,$C$90*0.05,$AD$284-$AD$286-$AD$288-$AD$290-$AD$292-$AD$294-$AD$296-$AD$298-$AD$300-$AD$302))</f>
        <v>0</v>
      </c>
      <c r="AF304" s="37">
        <f>AD304/IF(OR($F$86="",$F$86&lt;80),93,150)</f>
        <v>0</v>
      </c>
      <c r="AG304" s="13"/>
      <c r="AH304" s="8">
        <f>IF(AND(OrgGodn&lt;80,OrgGodn=""),IF(AND(Protkorn="Ja",Kornkøb="Ja"),'9 Kvotereduktion'!$I$43,IF(Protkorn="Ja",'9 Kvotereduktion'!$H$43,'9 Kvotereduktion'!$G$43)),IF(AND(Protkorn="Ja",Kornkøb="Ja"),'9 Kvotereduktion'!$M$43,IF(Protkorn="Ja",'9 Kvotereduktion'!$L$43,'9 Kvotereduktion'!$K$43)))</f>
        <v>0</v>
      </c>
      <c r="AI304" s="8">
        <f>AF304*AH304</f>
        <v>0</v>
      </c>
    </row>
    <row r="305" spans="13:35" ht="5" customHeight="1" x14ac:dyDescent="0.25"/>
    <row r="306" spans="13:35" x14ac:dyDescent="0.25">
      <c r="M306" s="5" t="s">
        <v>235</v>
      </c>
      <c r="V306" s="9">
        <f>V220+V222+V224+V226+V228+V230+V232+V234+V236+V238+V240+V242+V244+V246+V248+V250+V252+V254+V256+V258+V260+V262+V264+V266+V268+V270+V272+V274+V276+V278+V280+V286+V288+V290+V292+V294+V296+V298+V300+V302+V304</f>
        <v>0</v>
      </c>
      <c r="Z306" s="5" t="s">
        <v>235</v>
      </c>
      <c r="AI306" s="9">
        <f>AI220+AI222+AI224+AI226+AI228+AI230+AI232+AI234+AI236+AI238+AI240+AI242+AI244+AI246+AI248+AI250+AI252+AI254+AI256+AI258+AI260+AI262+AI264+AI266+AI268+AI270+AI272+AI274+AI276+AI278+AI280+AI286+AI288+AI290+AI292+AI294+AI296+AI298+AI300+AI302+AI304</f>
        <v>0</v>
      </c>
    </row>
  </sheetData>
  <sheetProtection sheet="1" objects="1" scenarios="1"/>
  <dataValidations count="1">
    <dataValidation type="list" allowBlank="1" showInputMessage="1" showErrorMessage="1" sqref="C3:C5" xr:uid="{2387F944-CFBB-47C9-AE1B-CCCFE16EF260}">
      <formula1>JaNej</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3305C-0E33-43A2-A54F-FB9EC546BAA6}">
  <dimension ref="B1:P106"/>
  <sheetViews>
    <sheetView zoomScaleNormal="100" workbookViewId="0">
      <pane ySplit="2" topLeftCell="A3" activePane="bottomLeft" state="frozen"/>
      <selection pane="bottomLeft" activeCell="H10" sqref="H10"/>
    </sheetView>
  </sheetViews>
  <sheetFormatPr defaultRowHeight="11.5" x14ac:dyDescent="0.25"/>
  <cols>
    <col min="1" max="1" width="1.69921875" style="2" customWidth="1"/>
    <col min="2" max="2" width="29.8984375" style="2" customWidth="1"/>
    <col min="3" max="6" width="8.796875" style="2"/>
    <col min="7" max="7" width="3.69921875" style="2" customWidth="1"/>
    <col min="8" max="11" width="8.796875" style="2"/>
    <col min="12" max="12" width="3.69921875" style="2" customWidth="1"/>
    <col min="13" max="16384" width="8.796875" style="2"/>
  </cols>
  <sheetData>
    <row r="1" spans="2:16" ht="18" x14ac:dyDescent="0.4">
      <c r="B1" s="1" t="s">
        <v>79</v>
      </c>
    </row>
    <row r="2" spans="2:16" ht="11.5" customHeight="1" x14ac:dyDescent="0.25">
      <c r="B2" s="51"/>
    </row>
    <row r="3" spans="2:16" ht="11.5" customHeight="1" x14ac:dyDescent="0.25">
      <c r="B3" s="51" t="s">
        <v>103</v>
      </c>
    </row>
    <row r="4" spans="2:16" ht="11.5" customHeight="1" x14ac:dyDescent="0.25">
      <c r="B4" s="51" t="s">
        <v>104</v>
      </c>
    </row>
    <row r="5" spans="2:16" ht="11.5" customHeight="1" x14ac:dyDescent="0.25">
      <c r="B5" s="51"/>
    </row>
    <row r="6" spans="2:16" x14ac:dyDescent="0.25">
      <c r="B6" s="51"/>
    </row>
    <row r="7" spans="2:16" ht="14" x14ac:dyDescent="0.3">
      <c r="B7" s="30" t="s">
        <v>83</v>
      </c>
      <c r="C7" s="53" t="s">
        <v>101</v>
      </c>
      <c r="D7" s="53"/>
      <c r="E7" s="53"/>
      <c r="F7" s="53"/>
      <c r="H7" s="53" t="s">
        <v>102</v>
      </c>
      <c r="I7" s="53"/>
      <c r="J7" s="53"/>
      <c r="K7" s="53"/>
    </row>
    <row r="8" spans="2:16" ht="11.5" customHeight="1" x14ac:dyDescent="0.25">
      <c r="B8" s="54"/>
      <c r="C8" s="55" t="s">
        <v>87</v>
      </c>
      <c r="D8" s="56"/>
      <c r="E8" s="55" t="s">
        <v>88</v>
      </c>
      <c r="F8" s="56"/>
      <c r="H8" s="55" t="s">
        <v>87</v>
      </c>
      <c r="I8" s="56"/>
      <c r="J8" s="55" t="s">
        <v>88</v>
      </c>
      <c r="K8" s="56"/>
    </row>
    <row r="9" spans="2:16" x14ac:dyDescent="0.25">
      <c r="B9" s="57"/>
      <c r="C9" s="58" t="s">
        <v>89</v>
      </c>
      <c r="D9" s="59" t="s">
        <v>90</v>
      </c>
      <c r="E9" s="58" t="s">
        <v>89</v>
      </c>
      <c r="F9" s="59" t="s">
        <v>90</v>
      </c>
      <c r="H9" s="58" t="s">
        <v>89</v>
      </c>
      <c r="I9" s="59" t="s">
        <v>90</v>
      </c>
      <c r="J9" s="58" t="s">
        <v>89</v>
      </c>
      <c r="K9" s="59" t="s">
        <v>90</v>
      </c>
    </row>
    <row r="10" spans="2:16" x14ac:dyDescent="0.25">
      <c r="B10" s="54" t="s">
        <v>80</v>
      </c>
      <c r="C10" s="60">
        <v>160</v>
      </c>
      <c r="D10" s="61">
        <v>160</v>
      </c>
      <c r="E10" s="61">
        <v>160</v>
      </c>
      <c r="F10" s="62">
        <v>160</v>
      </c>
      <c r="H10" s="82"/>
      <c r="I10" s="83"/>
      <c r="J10" s="83"/>
      <c r="K10" s="84"/>
    </row>
    <row r="11" spans="2:16" x14ac:dyDescent="0.25">
      <c r="B11" s="63" t="s">
        <v>81</v>
      </c>
      <c r="C11" s="64">
        <v>120</v>
      </c>
      <c r="D11" s="13">
        <v>120</v>
      </c>
      <c r="E11" s="13">
        <v>120</v>
      </c>
      <c r="F11" s="65">
        <v>120</v>
      </c>
      <c r="H11" s="85"/>
      <c r="I11" s="86"/>
      <c r="J11" s="86"/>
      <c r="K11" s="87"/>
    </row>
    <row r="12" spans="2:16" x14ac:dyDescent="0.25">
      <c r="B12" s="63" t="s">
        <v>84</v>
      </c>
      <c r="C12" s="64">
        <v>-102</v>
      </c>
      <c r="D12" s="13">
        <v>-150</v>
      </c>
      <c r="E12" s="13">
        <v>-102</v>
      </c>
      <c r="F12" s="65">
        <v>-150</v>
      </c>
      <c r="H12" s="85"/>
      <c r="I12" s="86"/>
      <c r="J12" s="86"/>
      <c r="K12" s="87"/>
    </row>
    <row r="13" spans="2:16" x14ac:dyDescent="0.25">
      <c r="B13" s="63" t="s">
        <v>85</v>
      </c>
      <c r="C13" s="64">
        <v>-210</v>
      </c>
      <c r="D13" s="13">
        <v>-210</v>
      </c>
      <c r="E13" s="13">
        <v>0</v>
      </c>
      <c r="F13" s="65">
        <v>0</v>
      </c>
      <c r="H13" s="85"/>
      <c r="I13" s="86"/>
      <c r="J13" s="86"/>
      <c r="K13" s="87"/>
    </row>
    <row r="14" spans="2:16" x14ac:dyDescent="0.25">
      <c r="B14" s="63" t="s">
        <v>86</v>
      </c>
      <c r="C14" s="64">
        <v>15</v>
      </c>
      <c r="D14" s="13">
        <v>15</v>
      </c>
      <c r="E14" s="13">
        <v>15</v>
      </c>
      <c r="F14" s="65">
        <v>15</v>
      </c>
      <c r="H14" s="85"/>
      <c r="I14" s="86"/>
      <c r="J14" s="86"/>
      <c r="K14" s="87"/>
      <c r="M14" s="55" t="s">
        <v>87</v>
      </c>
      <c r="N14" s="56"/>
      <c r="O14" s="55" t="s">
        <v>88</v>
      </c>
      <c r="P14" s="56"/>
    </row>
    <row r="15" spans="2:16" x14ac:dyDescent="0.25">
      <c r="B15" s="57" t="s">
        <v>82</v>
      </c>
      <c r="C15" s="66">
        <v>-500</v>
      </c>
      <c r="D15" s="67">
        <v>-500</v>
      </c>
      <c r="E15" s="67">
        <v>-500</v>
      </c>
      <c r="F15" s="68">
        <v>-500</v>
      </c>
      <c r="H15" s="88"/>
      <c r="I15" s="89"/>
      <c r="J15" s="89"/>
      <c r="K15" s="90"/>
      <c r="M15" s="69" t="s">
        <v>89</v>
      </c>
      <c r="N15" s="70" t="s">
        <v>90</v>
      </c>
      <c r="O15" s="69" t="s">
        <v>89</v>
      </c>
      <c r="P15" s="70" t="s">
        <v>90</v>
      </c>
    </row>
    <row r="16" spans="2:16" x14ac:dyDescent="0.25">
      <c r="B16" s="71" t="s">
        <v>91</v>
      </c>
      <c r="C16" s="72">
        <f>C10+C11+C12+C13+C14</f>
        <v>-17</v>
      </c>
      <c r="D16" s="73">
        <f t="shared" ref="D16:F16" si="0">D10+D11+D12+D13+D14</f>
        <v>-65</v>
      </c>
      <c r="E16" s="73">
        <f t="shared" si="0"/>
        <v>193</v>
      </c>
      <c r="F16" s="74">
        <f t="shared" si="0"/>
        <v>145</v>
      </c>
      <c r="H16" s="72">
        <f>H10+H11+H12+H13+H14</f>
        <v>0</v>
      </c>
      <c r="I16" s="73">
        <f t="shared" ref="I16:K16" si="1">I10+I11+I12+I13+I14</f>
        <v>0</v>
      </c>
      <c r="J16" s="73">
        <f t="shared" si="1"/>
        <v>0</v>
      </c>
      <c r="K16" s="74">
        <f t="shared" si="1"/>
        <v>0</v>
      </c>
      <c r="M16" s="72">
        <f>IF(H16&lt;&gt;0,H16,C16)</f>
        <v>-17</v>
      </c>
      <c r="N16" s="73">
        <f t="shared" ref="N16:P16" si="2">IF(I16&lt;&gt;0,I16,D16)</f>
        <v>-65</v>
      </c>
      <c r="O16" s="73">
        <f t="shared" si="2"/>
        <v>193</v>
      </c>
      <c r="P16" s="74">
        <f t="shared" si="2"/>
        <v>145</v>
      </c>
    </row>
    <row r="17" spans="2:16" x14ac:dyDescent="0.25">
      <c r="B17" s="75" t="s">
        <v>92</v>
      </c>
      <c r="C17" s="76">
        <f>C10+C11+C12+C13+C14+C15</f>
        <v>-517</v>
      </c>
      <c r="D17" s="77">
        <f t="shared" ref="D17:F17" si="3">D10+D11+D12+D13+D14+D15</f>
        <v>-565</v>
      </c>
      <c r="E17" s="77">
        <f t="shared" si="3"/>
        <v>-307</v>
      </c>
      <c r="F17" s="78">
        <f t="shared" si="3"/>
        <v>-355</v>
      </c>
      <c r="H17" s="76">
        <f>H10+H11+H12+H13+H14+H15</f>
        <v>0</v>
      </c>
      <c r="I17" s="77">
        <f t="shared" ref="I17:K17" si="4">I10+I11+I12+I13+I14+I15</f>
        <v>0</v>
      </c>
      <c r="J17" s="77">
        <f t="shared" si="4"/>
        <v>0</v>
      </c>
      <c r="K17" s="78">
        <f t="shared" si="4"/>
        <v>0</v>
      </c>
      <c r="M17" s="76">
        <f>IF(H17&lt;&gt;0,H17,C17)</f>
        <v>-517</v>
      </c>
      <c r="N17" s="77">
        <f t="shared" ref="N17" si="5">IF(I17&lt;&gt;0,I17,D17)</f>
        <v>-565</v>
      </c>
      <c r="O17" s="77">
        <f t="shared" ref="O17" si="6">IF(J17&lt;&gt;0,J17,E17)</f>
        <v>-307</v>
      </c>
      <c r="P17" s="78">
        <f t="shared" ref="P17" si="7">IF(K17&lt;&gt;0,K17,F17)</f>
        <v>-355</v>
      </c>
    </row>
    <row r="19" spans="2:16" x14ac:dyDescent="0.25">
      <c r="B19" s="5" t="s">
        <v>99</v>
      </c>
      <c r="H19" s="5" t="s">
        <v>100</v>
      </c>
      <c r="K19" s="91"/>
      <c r="L19" s="92"/>
      <c r="M19" s="92"/>
      <c r="N19" s="92"/>
      <c r="O19" s="92"/>
      <c r="P19" s="93"/>
    </row>
    <row r="20" spans="2:16" x14ac:dyDescent="0.25">
      <c r="B20" s="13" t="s">
        <v>80</v>
      </c>
      <c r="C20" s="2" t="s">
        <v>93</v>
      </c>
      <c r="H20" s="13" t="s">
        <v>80</v>
      </c>
      <c r="J20" s="79"/>
      <c r="K20" s="94"/>
      <c r="L20" s="95"/>
      <c r="M20" s="95"/>
      <c r="N20" s="95"/>
      <c r="O20" s="95"/>
      <c r="P20" s="96"/>
    </row>
    <row r="21" spans="2:16" x14ac:dyDescent="0.25">
      <c r="B21" s="13" t="s">
        <v>81</v>
      </c>
      <c r="C21" s="2" t="s">
        <v>94</v>
      </c>
      <c r="H21" s="13" t="s">
        <v>81</v>
      </c>
      <c r="J21" s="79"/>
      <c r="K21" s="94"/>
      <c r="L21" s="95"/>
      <c r="M21" s="95"/>
      <c r="N21" s="95"/>
      <c r="O21" s="95"/>
      <c r="P21" s="96"/>
    </row>
    <row r="22" spans="2:16" x14ac:dyDescent="0.25">
      <c r="B22" s="13" t="s">
        <v>84</v>
      </c>
      <c r="C22" s="2" t="s">
        <v>95</v>
      </c>
      <c r="H22" s="13" t="s">
        <v>84</v>
      </c>
      <c r="J22" s="79"/>
      <c r="K22" s="94"/>
      <c r="L22" s="95"/>
      <c r="M22" s="95"/>
      <c r="N22" s="95"/>
      <c r="O22" s="95"/>
      <c r="P22" s="96"/>
    </row>
    <row r="23" spans="2:16" x14ac:dyDescent="0.25">
      <c r="B23" s="13" t="s">
        <v>85</v>
      </c>
      <c r="C23" s="2" t="s">
        <v>96</v>
      </c>
      <c r="H23" s="13" t="s">
        <v>85</v>
      </c>
      <c r="J23" s="79"/>
      <c r="K23" s="94"/>
      <c r="L23" s="95"/>
      <c r="M23" s="95"/>
      <c r="N23" s="95"/>
      <c r="O23" s="95"/>
      <c r="P23" s="96"/>
    </row>
    <row r="24" spans="2:16" x14ac:dyDescent="0.25">
      <c r="B24" s="13" t="s">
        <v>86</v>
      </c>
      <c r="C24" s="2" t="s">
        <v>97</v>
      </c>
      <c r="H24" s="13" t="s">
        <v>86</v>
      </c>
      <c r="J24" s="79"/>
      <c r="K24" s="94"/>
      <c r="L24" s="95"/>
      <c r="M24" s="95"/>
      <c r="N24" s="95"/>
      <c r="O24" s="95"/>
      <c r="P24" s="96"/>
    </row>
    <row r="25" spans="2:16" x14ac:dyDescent="0.25">
      <c r="B25" s="13" t="s">
        <v>82</v>
      </c>
      <c r="C25" s="2" t="s">
        <v>98</v>
      </c>
      <c r="H25" s="13" t="s">
        <v>82</v>
      </c>
      <c r="J25" s="79"/>
      <c r="K25" s="97"/>
      <c r="L25" s="98"/>
      <c r="M25" s="98"/>
      <c r="N25" s="98"/>
      <c r="O25" s="98"/>
      <c r="P25" s="99"/>
    </row>
    <row r="28" spans="2:16" ht="14" x14ac:dyDescent="0.3">
      <c r="B28" s="30" t="s">
        <v>105</v>
      </c>
      <c r="C28" s="53" t="s">
        <v>101</v>
      </c>
      <c r="D28" s="53"/>
      <c r="E28" s="53"/>
      <c r="F28" s="53"/>
      <c r="H28" s="53" t="s">
        <v>102</v>
      </c>
      <c r="I28" s="53"/>
      <c r="J28" s="53"/>
      <c r="K28" s="53"/>
    </row>
    <row r="29" spans="2:16" ht="11.5" customHeight="1" x14ac:dyDescent="0.25">
      <c r="B29" s="54"/>
      <c r="C29" s="55" t="s">
        <v>87</v>
      </c>
      <c r="D29" s="56"/>
      <c r="E29" s="55" t="s">
        <v>88</v>
      </c>
      <c r="F29" s="56"/>
      <c r="H29" s="55" t="s">
        <v>87</v>
      </c>
      <c r="I29" s="56"/>
      <c r="J29" s="55" t="s">
        <v>88</v>
      </c>
      <c r="K29" s="56"/>
    </row>
    <row r="30" spans="2:16" x14ac:dyDescent="0.25">
      <c r="B30" s="57"/>
      <c r="C30" s="58" t="s">
        <v>89</v>
      </c>
      <c r="D30" s="59" t="s">
        <v>90</v>
      </c>
      <c r="E30" s="58" t="s">
        <v>89</v>
      </c>
      <c r="F30" s="59" t="s">
        <v>90</v>
      </c>
      <c r="H30" s="58" t="s">
        <v>89</v>
      </c>
      <c r="I30" s="59" t="s">
        <v>90</v>
      </c>
      <c r="J30" s="58" t="s">
        <v>89</v>
      </c>
      <c r="K30" s="59" t="s">
        <v>90</v>
      </c>
    </row>
    <row r="31" spans="2:16" x14ac:dyDescent="0.25">
      <c r="B31" s="54" t="s">
        <v>80</v>
      </c>
      <c r="C31" s="60">
        <v>240</v>
      </c>
      <c r="D31" s="61">
        <v>240</v>
      </c>
      <c r="E31" s="61">
        <v>240</v>
      </c>
      <c r="F31" s="62">
        <v>240</v>
      </c>
      <c r="H31" s="82"/>
      <c r="I31" s="83"/>
      <c r="J31" s="83"/>
      <c r="K31" s="84"/>
    </row>
    <row r="32" spans="2:16" x14ac:dyDescent="0.25">
      <c r="B32" s="63" t="s">
        <v>81</v>
      </c>
      <c r="C32" s="64">
        <v>180</v>
      </c>
      <c r="D32" s="13">
        <v>180</v>
      </c>
      <c r="E32" s="13">
        <v>180</v>
      </c>
      <c r="F32" s="65">
        <v>180</v>
      </c>
      <c r="H32" s="85"/>
      <c r="I32" s="86"/>
      <c r="J32" s="86"/>
      <c r="K32" s="87"/>
    </row>
    <row r="33" spans="2:16" x14ac:dyDescent="0.25">
      <c r="B33" s="63" t="s">
        <v>84</v>
      </c>
      <c r="C33" s="64">
        <v>-102</v>
      </c>
      <c r="D33" s="13">
        <v>-150</v>
      </c>
      <c r="E33" s="13">
        <v>-102</v>
      </c>
      <c r="F33" s="65">
        <v>-150</v>
      </c>
      <c r="H33" s="85"/>
      <c r="I33" s="86"/>
      <c r="J33" s="86"/>
      <c r="K33" s="87"/>
    </row>
    <row r="34" spans="2:16" x14ac:dyDescent="0.25">
      <c r="B34" s="63" t="s">
        <v>85</v>
      </c>
      <c r="C34" s="64">
        <v>-210</v>
      </c>
      <c r="D34" s="13">
        <v>-210</v>
      </c>
      <c r="E34" s="13">
        <v>0</v>
      </c>
      <c r="F34" s="65">
        <v>0</v>
      </c>
      <c r="H34" s="85"/>
      <c r="I34" s="86"/>
      <c r="J34" s="86"/>
      <c r="K34" s="87"/>
    </row>
    <row r="35" spans="2:16" x14ac:dyDescent="0.25">
      <c r="B35" s="63" t="s">
        <v>86</v>
      </c>
      <c r="C35" s="64">
        <v>22</v>
      </c>
      <c r="D35" s="13">
        <v>22</v>
      </c>
      <c r="E35" s="13">
        <v>22</v>
      </c>
      <c r="F35" s="65">
        <v>22</v>
      </c>
      <c r="H35" s="85"/>
      <c r="I35" s="86"/>
      <c r="J35" s="86"/>
      <c r="K35" s="87"/>
      <c r="M35" s="55" t="s">
        <v>87</v>
      </c>
      <c r="N35" s="56"/>
      <c r="O35" s="55" t="s">
        <v>88</v>
      </c>
      <c r="P35" s="56"/>
    </row>
    <row r="36" spans="2:16" x14ac:dyDescent="0.25">
      <c r="B36" s="57" t="s">
        <v>82</v>
      </c>
      <c r="C36" s="66">
        <v>-500</v>
      </c>
      <c r="D36" s="67">
        <v>-500</v>
      </c>
      <c r="E36" s="67">
        <v>-500</v>
      </c>
      <c r="F36" s="68">
        <v>-500</v>
      </c>
      <c r="H36" s="88"/>
      <c r="I36" s="89"/>
      <c r="J36" s="89"/>
      <c r="K36" s="90"/>
      <c r="M36" s="69" t="s">
        <v>89</v>
      </c>
      <c r="N36" s="70" t="s">
        <v>90</v>
      </c>
      <c r="O36" s="69" t="s">
        <v>89</v>
      </c>
      <c r="P36" s="70" t="s">
        <v>90</v>
      </c>
    </row>
    <row r="37" spans="2:16" x14ac:dyDescent="0.25">
      <c r="B37" s="71" t="s">
        <v>91</v>
      </c>
      <c r="C37" s="72">
        <f>C31+C32+C33+C34+C35</f>
        <v>130</v>
      </c>
      <c r="D37" s="73">
        <f t="shared" ref="D37:F37" si="8">D31+D32+D33+D34+D35</f>
        <v>82</v>
      </c>
      <c r="E37" s="73">
        <f t="shared" si="8"/>
        <v>340</v>
      </c>
      <c r="F37" s="74">
        <f t="shared" si="8"/>
        <v>292</v>
      </c>
      <c r="H37" s="72">
        <f>H31+H32+H33+H34+H35</f>
        <v>0</v>
      </c>
      <c r="I37" s="73">
        <f t="shared" ref="I37:K37" si="9">I31+I32+I33+I34+I35</f>
        <v>0</v>
      </c>
      <c r="J37" s="73">
        <f t="shared" si="9"/>
        <v>0</v>
      </c>
      <c r="K37" s="74">
        <f t="shared" si="9"/>
        <v>0</v>
      </c>
      <c r="M37" s="72">
        <f>IF(H37&lt;&gt;0,H37,C37)</f>
        <v>130</v>
      </c>
      <c r="N37" s="73">
        <f t="shared" ref="N37:N38" si="10">IF(I37&lt;&gt;0,I37,D37)</f>
        <v>82</v>
      </c>
      <c r="O37" s="73">
        <f t="shared" ref="O37:O38" si="11">IF(J37&lt;&gt;0,J37,E37)</f>
        <v>340</v>
      </c>
      <c r="P37" s="74">
        <f t="shared" ref="P37:P38" si="12">IF(K37&lt;&gt;0,K37,F37)</f>
        <v>292</v>
      </c>
    </row>
    <row r="38" spans="2:16" x14ac:dyDescent="0.25">
      <c r="B38" s="75" t="s">
        <v>92</v>
      </c>
      <c r="C38" s="76">
        <f>C31+C32+C33+C34+C35+C36</f>
        <v>-370</v>
      </c>
      <c r="D38" s="77">
        <f t="shared" ref="D38:F38" si="13">D31+D32+D33+D34+D35+D36</f>
        <v>-418</v>
      </c>
      <c r="E38" s="77">
        <f t="shared" si="13"/>
        <v>-160</v>
      </c>
      <c r="F38" s="78">
        <f t="shared" si="13"/>
        <v>-208</v>
      </c>
      <c r="H38" s="76">
        <f>H31+H32+H33+H34+H35+H36</f>
        <v>0</v>
      </c>
      <c r="I38" s="77">
        <f t="shared" ref="I38:K38" si="14">I31+I32+I33+I34+I35+I36</f>
        <v>0</v>
      </c>
      <c r="J38" s="77">
        <f t="shared" si="14"/>
        <v>0</v>
      </c>
      <c r="K38" s="78">
        <f t="shared" si="14"/>
        <v>0</v>
      </c>
      <c r="M38" s="76">
        <f>IF(H38&lt;&gt;0,H38,C38)</f>
        <v>-370</v>
      </c>
      <c r="N38" s="77">
        <f t="shared" si="10"/>
        <v>-418</v>
      </c>
      <c r="O38" s="77">
        <f t="shared" si="11"/>
        <v>-160</v>
      </c>
      <c r="P38" s="78">
        <f t="shared" si="12"/>
        <v>-208</v>
      </c>
    </row>
    <row r="40" spans="2:16" x14ac:dyDescent="0.25">
      <c r="B40" s="5" t="s">
        <v>99</v>
      </c>
      <c r="H40" s="5" t="s">
        <v>100</v>
      </c>
      <c r="K40" s="82"/>
      <c r="L40" s="83"/>
      <c r="M40" s="83"/>
      <c r="N40" s="83"/>
      <c r="O40" s="83"/>
      <c r="P40" s="84"/>
    </row>
    <row r="41" spans="2:16" x14ac:dyDescent="0.25">
      <c r="B41" s="13" t="s">
        <v>80</v>
      </c>
      <c r="C41" s="2" t="s">
        <v>106</v>
      </c>
      <c r="H41" s="13" t="s">
        <v>80</v>
      </c>
      <c r="J41" s="79"/>
      <c r="K41" s="85"/>
      <c r="L41" s="86"/>
      <c r="M41" s="86"/>
      <c r="N41" s="86"/>
      <c r="O41" s="86"/>
      <c r="P41" s="87"/>
    </row>
    <row r="42" spans="2:16" x14ac:dyDescent="0.25">
      <c r="B42" s="13" t="s">
        <v>81</v>
      </c>
      <c r="C42" s="2" t="s">
        <v>107</v>
      </c>
      <c r="H42" s="13" t="s">
        <v>81</v>
      </c>
      <c r="J42" s="79"/>
      <c r="K42" s="85"/>
      <c r="L42" s="86"/>
      <c r="M42" s="86"/>
      <c r="N42" s="86"/>
      <c r="O42" s="86"/>
      <c r="P42" s="87"/>
    </row>
    <row r="43" spans="2:16" x14ac:dyDescent="0.25">
      <c r="B43" s="13" t="s">
        <v>84</v>
      </c>
      <c r="C43" s="2" t="s">
        <v>95</v>
      </c>
      <c r="H43" s="13" t="s">
        <v>84</v>
      </c>
      <c r="J43" s="79"/>
      <c r="K43" s="85"/>
      <c r="L43" s="86"/>
      <c r="M43" s="86"/>
      <c r="N43" s="86"/>
      <c r="O43" s="86"/>
      <c r="P43" s="87"/>
    </row>
    <row r="44" spans="2:16" x14ac:dyDescent="0.25">
      <c r="B44" s="13" t="s">
        <v>85</v>
      </c>
      <c r="C44" s="2" t="s">
        <v>96</v>
      </c>
      <c r="H44" s="13" t="s">
        <v>85</v>
      </c>
      <c r="J44" s="79"/>
      <c r="K44" s="85"/>
      <c r="L44" s="86"/>
      <c r="M44" s="86"/>
      <c r="N44" s="86"/>
      <c r="O44" s="86"/>
      <c r="P44" s="87"/>
    </row>
    <row r="45" spans="2:16" x14ac:dyDescent="0.25">
      <c r="B45" s="13" t="s">
        <v>86</v>
      </c>
      <c r="C45" s="2" t="s">
        <v>97</v>
      </c>
      <c r="H45" s="13" t="s">
        <v>86</v>
      </c>
      <c r="J45" s="79"/>
      <c r="K45" s="85"/>
      <c r="L45" s="86"/>
      <c r="M45" s="86"/>
      <c r="N45" s="86"/>
      <c r="O45" s="86"/>
      <c r="P45" s="87"/>
    </row>
    <row r="46" spans="2:16" x14ac:dyDescent="0.25">
      <c r="B46" s="13" t="s">
        <v>82</v>
      </c>
      <c r="C46" s="2" t="s">
        <v>98</v>
      </c>
      <c r="H46" s="13" t="s">
        <v>82</v>
      </c>
      <c r="J46" s="79"/>
      <c r="K46" s="88"/>
      <c r="L46" s="89"/>
      <c r="M46" s="89"/>
      <c r="N46" s="89"/>
      <c r="O46" s="89"/>
      <c r="P46" s="90"/>
    </row>
    <row r="49" spans="2:16" ht="14" x14ac:dyDescent="0.3">
      <c r="B49" s="30" t="s">
        <v>108</v>
      </c>
      <c r="C49" s="53" t="s">
        <v>101</v>
      </c>
      <c r="D49" s="53"/>
      <c r="E49" s="53"/>
      <c r="F49" s="53"/>
      <c r="H49" s="53" t="s">
        <v>102</v>
      </c>
      <c r="I49" s="53"/>
      <c r="J49" s="53"/>
      <c r="K49" s="53"/>
    </row>
    <row r="50" spans="2:16" ht="11.5" customHeight="1" x14ac:dyDescent="0.25">
      <c r="B50" s="54"/>
      <c r="C50" s="55" t="s">
        <v>87</v>
      </c>
      <c r="D50" s="56"/>
      <c r="E50" s="55" t="s">
        <v>88</v>
      </c>
      <c r="F50" s="56"/>
      <c r="H50" s="55" t="s">
        <v>87</v>
      </c>
      <c r="I50" s="56"/>
      <c r="J50" s="55" t="s">
        <v>88</v>
      </c>
      <c r="K50" s="56"/>
    </row>
    <row r="51" spans="2:16" x14ac:dyDescent="0.25">
      <c r="B51" s="57"/>
      <c r="C51" s="58" t="s">
        <v>89</v>
      </c>
      <c r="D51" s="59" t="s">
        <v>90</v>
      </c>
      <c r="E51" s="58" t="s">
        <v>89</v>
      </c>
      <c r="F51" s="59" t="s">
        <v>90</v>
      </c>
      <c r="H51" s="58" t="s">
        <v>89</v>
      </c>
      <c r="I51" s="59" t="s">
        <v>90</v>
      </c>
      <c r="J51" s="58" t="s">
        <v>89</v>
      </c>
      <c r="K51" s="59" t="s">
        <v>90</v>
      </c>
    </row>
    <row r="52" spans="2:16" x14ac:dyDescent="0.25">
      <c r="B52" s="54" t="s">
        <v>80</v>
      </c>
      <c r="C52" s="60">
        <v>160</v>
      </c>
      <c r="D52" s="61">
        <v>160</v>
      </c>
      <c r="E52" s="61">
        <v>160</v>
      </c>
      <c r="F52" s="62">
        <v>160</v>
      </c>
      <c r="H52" s="82"/>
      <c r="I52" s="83"/>
      <c r="J52" s="83"/>
      <c r="K52" s="84"/>
    </row>
    <row r="53" spans="2:16" x14ac:dyDescent="0.25">
      <c r="B53" s="63" t="s">
        <v>121</v>
      </c>
      <c r="C53" s="64">
        <v>25</v>
      </c>
      <c r="D53" s="13">
        <v>25</v>
      </c>
      <c r="E53" s="13">
        <v>25</v>
      </c>
      <c r="F53" s="65">
        <v>25</v>
      </c>
      <c r="H53" s="85"/>
      <c r="I53" s="86"/>
      <c r="J53" s="86"/>
      <c r="K53" s="87"/>
    </row>
    <row r="54" spans="2:16" x14ac:dyDescent="0.25">
      <c r="B54" s="63" t="s">
        <v>122</v>
      </c>
      <c r="C54" s="64">
        <v>50</v>
      </c>
      <c r="D54" s="13">
        <v>50</v>
      </c>
      <c r="E54" s="13">
        <v>50</v>
      </c>
      <c r="F54" s="65">
        <v>50</v>
      </c>
      <c r="H54" s="85"/>
      <c r="I54" s="86"/>
      <c r="J54" s="86"/>
      <c r="K54" s="87"/>
    </row>
    <row r="55" spans="2:16" x14ac:dyDescent="0.25">
      <c r="B55" s="63" t="s">
        <v>84</v>
      </c>
      <c r="C55" s="64">
        <v>-102</v>
      </c>
      <c r="D55" s="13">
        <v>-150</v>
      </c>
      <c r="E55" s="13">
        <v>-102</v>
      </c>
      <c r="F55" s="65">
        <v>-150</v>
      </c>
      <c r="H55" s="85"/>
      <c r="I55" s="86"/>
      <c r="J55" s="86"/>
      <c r="K55" s="87"/>
    </row>
    <row r="56" spans="2:16" x14ac:dyDescent="0.25">
      <c r="B56" s="63" t="s">
        <v>110</v>
      </c>
      <c r="C56" s="64">
        <v>110</v>
      </c>
      <c r="D56" s="13">
        <v>110</v>
      </c>
      <c r="E56" s="13">
        <v>110</v>
      </c>
      <c r="F56" s="65">
        <v>110</v>
      </c>
      <c r="H56" s="85"/>
      <c r="I56" s="86"/>
      <c r="J56" s="86"/>
      <c r="K56" s="87"/>
    </row>
    <row r="57" spans="2:16" x14ac:dyDescent="0.25">
      <c r="B57" s="63" t="s">
        <v>85</v>
      </c>
      <c r="C57" s="64">
        <v>0</v>
      </c>
      <c r="D57" s="13">
        <v>0</v>
      </c>
      <c r="E57" s="13">
        <v>0</v>
      </c>
      <c r="F57" s="65">
        <v>0</v>
      </c>
      <c r="H57" s="85"/>
      <c r="I57" s="86"/>
      <c r="J57" s="86"/>
      <c r="K57" s="87"/>
    </row>
    <row r="58" spans="2:16" x14ac:dyDescent="0.25">
      <c r="B58" s="63" t="s">
        <v>86</v>
      </c>
      <c r="C58" s="64">
        <v>12</v>
      </c>
      <c r="D58" s="13">
        <v>12</v>
      </c>
      <c r="E58" s="13">
        <v>12</v>
      </c>
      <c r="F58" s="65">
        <v>12</v>
      </c>
      <c r="H58" s="85"/>
      <c r="I58" s="86"/>
      <c r="J58" s="86"/>
      <c r="K58" s="87"/>
      <c r="M58" s="55" t="s">
        <v>87</v>
      </c>
      <c r="N58" s="56"/>
      <c r="O58" s="55" t="s">
        <v>88</v>
      </c>
      <c r="P58" s="56"/>
    </row>
    <row r="59" spans="2:16" x14ac:dyDescent="0.25">
      <c r="B59" s="57" t="s">
        <v>82</v>
      </c>
      <c r="C59" s="64">
        <v>-500</v>
      </c>
      <c r="D59" s="13">
        <v>-500</v>
      </c>
      <c r="E59" s="13">
        <v>-500</v>
      </c>
      <c r="F59" s="65">
        <v>-500</v>
      </c>
      <c r="H59" s="88"/>
      <c r="I59" s="89"/>
      <c r="J59" s="89"/>
      <c r="K59" s="90"/>
      <c r="M59" s="69" t="s">
        <v>89</v>
      </c>
      <c r="N59" s="70" t="s">
        <v>90</v>
      </c>
      <c r="O59" s="69" t="s">
        <v>89</v>
      </c>
      <c r="P59" s="70" t="s">
        <v>90</v>
      </c>
    </row>
    <row r="60" spans="2:16" x14ac:dyDescent="0.25">
      <c r="B60" s="72" t="s">
        <v>91</v>
      </c>
      <c r="C60" s="72">
        <f>C52+C53+C54+C55+C56+C57+C58</f>
        <v>255</v>
      </c>
      <c r="D60" s="73">
        <f t="shared" ref="D60:F60" si="15">D52+D53+D54+D55+D56+D57+D58</f>
        <v>207</v>
      </c>
      <c r="E60" s="73">
        <f t="shared" si="15"/>
        <v>255</v>
      </c>
      <c r="F60" s="74">
        <f t="shared" si="15"/>
        <v>207</v>
      </c>
      <c r="H60" s="72">
        <f>H52+H53+H54+H55+H56+H57+H58</f>
        <v>0</v>
      </c>
      <c r="I60" s="73">
        <f t="shared" ref="I60:K60" si="16">I52+I53+I54+I55+I56+I57+I58</f>
        <v>0</v>
      </c>
      <c r="J60" s="73">
        <f t="shared" si="16"/>
        <v>0</v>
      </c>
      <c r="K60" s="74">
        <f t="shared" si="16"/>
        <v>0</v>
      </c>
      <c r="M60" s="72">
        <f>IF(H60&lt;&gt;0,H60,C60)</f>
        <v>255</v>
      </c>
      <c r="N60" s="73">
        <f t="shared" ref="N60:N61" si="17">IF(I60&lt;&gt;0,I60,D60)</f>
        <v>207</v>
      </c>
      <c r="O60" s="73">
        <f t="shared" ref="O60:O61" si="18">IF(J60&lt;&gt;0,J60,E60)</f>
        <v>255</v>
      </c>
      <c r="P60" s="74">
        <f t="shared" ref="P60:P61" si="19">IF(K60&lt;&gt;0,K60,F60)</f>
        <v>207</v>
      </c>
    </row>
    <row r="61" spans="2:16" x14ac:dyDescent="0.25">
      <c r="B61" s="76" t="s">
        <v>92</v>
      </c>
      <c r="C61" s="76">
        <f>C52+C53+C54+C55+C56+C57+C58+C59</f>
        <v>-245</v>
      </c>
      <c r="D61" s="77">
        <f t="shared" ref="D61:F61" si="20">D52+D53+D54+D55+D56+D57+D58+D59</f>
        <v>-293</v>
      </c>
      <c r="E61" s="77">
        <f t="shared" si="20"/>
        <v>-245</v>
      </c>
      <c r="F61" s="78">
        <f t="shared" si="20"/>
        <v>-293</v>
      </c>
      <c r="H61" s="76">
        <f>H52+H53+H54+H55+H56+H57+H58+H59</f>
        <v>0</v>
      </c>
      <c r="I61" s="77">
        <f t="shared" ref="I61:K61" si="21">I52+I53+I54+I55+I56+I57+I58+I59</f>
        <v>0</v>
      </c>
      <c r="J61" s="77">
        <f t="shared" si="21"/>
        <v>0</v>
      </c>
      <c r="K61" s="78">
        <f t="shared" si="21"/>
        <v>0</v>
      </c>
      <c r="M61" s="76">
        <f>IF(H61&lt;&gt;0,H61,C61)</f>
        <v>-245</v>
      </c>
      <c r="N61" s="77">
        <f t="shared" si="17"/>
        <v>-293</v>
      </c>
      <c r="O61" s="77">
        <f t="shared" si="18"/>
        <v>-245</v>
      </c>
      <c r="P61" s="78">
        <f t="shared" si="19"/>
        <v>-293</v>
      </c>
    </row>
    <row r="63" spans="2:16" x14ac:dyDescent="0.25">
      <c r="B63" s="5" t="s">
        <v>99</v>
      </c>
      <c r="H63" s="5" t="s">
        <v>100</v>
      </c>
      <c r="K63" s="82"/>
      <c r="L63" s="83"/>
      <c r="M63" s="83"/>
      <c r="N63" s="83"/>
      <c r="O63" s="83"/>
      <c r="P63" s="84"/>
    </row>
    <row r="64" spans="2:16" x14ac:dyDescent="0.25">
      <c r="B64" s="13" t="s">
        <v>80</v>
      </c>
      <c r="C64" s="2" t="s">
        <v>111</v>
      </c>
      <c r="H64" s="13" t="s">
        <v>80</v>
      </c>
      <c r="J64" s="79"/>
      <c r="K64" s="85"/>
      <c r="L64" s="86"/>
      <c r="M64" s="86"/>
      <c r="N64" s="86"/>
      <c r="O64" s="86"/>
      <c r="P64" s="87"/>
    </row>
    <row r="65" spans="2:16" x14ac:dyDescent="0.25">
      <c r="B65" s="13" t="s">
        <v>81</v>
      </c>
      <c r="C65" s="2" t="s">
        <v>112</v>
      </c>
      <c r="H65" s="13" t="s">
        <v>81</v>
      </c>
      <c r="J65" s="79"/>
      <c r="K65" s="85"/>
      <c r="L65" s="86"/>
      <c r="M65" s="86"/>
      <c r="N65" s="86"/>
      <c r="O65" s="86"/>
      <c r="P65" s="87"/>
    </row>
    <row r="66" spans="2:16" x14ac:dyDescent="0.25">
      <c r="B66" s="13" t="s">
        <v>84</v>
      </c>
      <c r="C66" s="2" t="s">
        <v>95</v>
      </c>
      <c r="H66" s="13" t="s">
        <v>84</v>
      </c>
      <c r="J66" s="79"/>
      <c r="K66" s="85"/>
      <c r="L66" s="86"/>
      <c r="M66" s="86"/>
      <c r="N66" s="86"/>
      <c r="O66" s="86"/>
      <c r="P66" s="87"/>
    </row>
    <row r="67" spans="2:16" x14ac:dyDescent="0.25">
      <c r="B67" s="13" t="s">
        <v>85</v>
      </c>
      <c r="C67" s="2" t="s">
        <v>96</v>
      </c>
      <c r="H67" s="13" t="s">
        <v>85</v>
      </c>
      <c r="J67" s="79"/>
      <c r="K67" s="85"/>
      <c r="L67" s="86"/>
      <c r="M67" s="86"/>
      <c r="N67" s="86"/>
      <c r="O67" s="86"/>
      <c r="P67" s="87"/>
    </row>
    <row r="68" spans="2:16" x14ac:dyDescent="0.25">
      <c r="B68" s="13" t="s">
        <v>86</v>
      </c>
      <c r="C68" s="2" t="s">
        <v>97</v>
      </c>
      <c r="H68" s="13" t="s">
        <v>86</v>
      </c>
      <c r="J68" s="79"/>
      <c r="K68" s="85"/>
      <c r="L68" s="86"/>
      <c r="M68" s="86"/>
      <c r="N68" s="86"/>
      <c r="O68" s="86"/>
      <c r="P68" s="87"/>
    </row>
    <row r="69" spans="2:16" x14ac:dyDescent="0.25">
      <c r="B69" s="13" t="s">
        <v>82</v>
      </c>
      <c r="C69" s="2" t="s">
        <v>98</v>
      </c>
      <c r="H69" s="13" t="s">
        <v>82</v>
      </c>
      <c r="J69" s="79"/>
      <c r="K69" s="88"/>
      <c r="L69" s="89"/>
      <c r="M69" s="89"/>
      <c r="N69" s="89"/>
      <c r="O69" s="89"/>
      <c r="P69" s="90"/>
    </row>
    <row r="70" spans="2:16" x14ac:dyDescent="0.25">
      <c r="B70" s="13"/>
      <c r="H70" s="13"/>
      <c r="J70" s="79"/>
      <c r="K70" s="79"/>
      <c r="L70" s="79"/>
      <c r="M70" s="79"/>
      <c r="N70" s="79"/>
      <c r="O70" s="79"/>
      <c r="P70" s="79"/>
    </row>
    <row r="71" spans="2:16" x14ac:dyDescent="0.25">
      <c r="B71" s="13"/>
      <c r="H71" s="13"/>
      <c r="J71" s="79"/>
      <c r="K71" s="79"/>
      <c r="L71" s="79"/>
      <c r="M71" s="79"/>
      <c r="N71" s="79"/>
      <c r="O71" s="79"/>
      <c r="P71" s="79"/>
    </row>
    <row r="73" spans="2:16" ht="14" x14ac:dyDescent="0.3">
      <c r="B73" s="30" t="s">
        <v>323</v>
      </c>
    </row>
    <row r="74" spans="2:16" ht="5" customHeight="1" x14ac:dyDescent="0.3">
      <c r="B74" s="52"/>
    </row>
    <row r="75" spans="2:16" ht="12.5" x14ac:dyDescent="0.25">
      <c r="B75" s="151" t="s">
        <v>324</v>
      </c>
    </row>
    <row r="76" spans="2:16" ht="12.5" x14ac:dyDescent="0.25">
      <c r="B76" s="151" t="s">
        <v>325</v>
      </c>
    </row>
    <row r="77" spans="2:16" x14ac:dyDescent="0.25">
      <c r="C77" s="53"/>
      <c r="D77" s="53"/>
      <c r="E77" s="53"/>
      <c r="F77" s="53"/>
    </row>
    <row r="78" spans="2:16" x14ac:dyDescent="0.25">
      <c r="B78" s="54"/>
      <c r="C78" s="55" t="s">
        <v>87</v>
      </c>
      <c r="D78" s="56"/>
      <c r="E78" s="55" t="s">
        <v>88</v>
      </c>
      <c r="F78" s="56"/>
    </row>
    <row r="79" spans="2:16" x14ac:dyDescent="0.25">
      <c r="B79" s="63"/>
      <c r="C79" s="69" t="s">
        <v>89</v>
      </c>
      <c r="D79" s="70" t="s">
        <v>90</v>
      </c>
      <c r="E79" s="69" t="s">
        <v>89</v>
      </c>
      <c r="F79" s="70" t="s">
        <v>90</v>
      </c>
    </row>
    <row r="80" spans="2:16" x14ac:dyDescent="0.25">
      <c r="B80" s="54" t="s">
        <v>326</v>
      </c>
      <c r="C80" s="153">
        <v>16</v>
      </c>
      <c r="D80" s="154">
        <v>16</v>
      </c>
      <c r="E80" s="153">
        <v>23</v>
      </c>
      <c r="F80" s="154">
        <v>23</v>
      </c>
    </row>
    <row r="81" spans="2:16" x14ac:dyDescent="0.25">
      <c r="B81" s="152" t="s">
        <v>327</v>
      </c>
      <c r="C81" s="155"/>
      <c r="D81" s="156"/>
      <c r="E81" s="155"/>
      <c r="F81" s="156"/>
    </row>
    <row r="82" spans="2:16" x14ac:dyDescent="0.25">
      <c r="B82" s="51"/>
      <c r="C82" s="51"/>
      <c r="D82" s="51"/>
      <c r="E82" s="51"/>
      <c r="F82" s="51"/>
    </row>
    <row r="83" spans="2:16" x14ac:dyDescent="0.25">
      <c r="C83" s="53" t="s">
        <v>101</v>
      </c>
      <c r="D83" s="53"/>
      <c r="E83" s="53"/>
      <c r="F83" s="53"/>
      <c r="H83" s="53" t="s">
        <v>102</v>
      </c>
      <c r="I83" s="53"/>
      <c r="J83" s="53"/>
      <c r="K83" s="53"/>
    </row>
    <row r="84" spans="2:16" ht="11.5" customHeight="1" x14ac:dyDescent="0.25">
      <c r="B84" s="54"/>
      <c r="C84" s="55" t="s">
        <v>87</v>
      </c>
      <c r="D84" s="56"/>
      <c r="E84" s="55" t="s">
        <v>88</v>
      </c>
      <c r="F84" s="56"/>
      <c r="H84" s="55" t="s">
        <v>87</v>
      </c>
      <c r="I84" s="56"/>
      <c r="J84" s="55" t="s">
        <v>88</v>
      </c>
      <c r="K84" s="56"/>
    </row>
    <row r="85" spans="2:16" x14ac:dyDescent="0.25">
      <c r="B85" s="57"/>
      <c r="C85" s="58" t="s">
        <v>89</v>
      </c>
      <c r="D85" s="59" t="s">
        <v>90</v>
      </c>
      <c r="E85" s="58" t="s">
        <v>89</v>
      </c>
      <c r="F85" s="59" t="s">
        <v>90</v>
      </c>
      <c r="H85" s="58" t="s">
        <v>89</v>
      </c>
      <c r="I85" s="59" t="s">
        <v>90</v>
      </c>
      <c r="J85" s="58" t="s">
        <v>89</v>
      </c>
      <c r="K85" s="59" t="s">
        <v>90</v>
      </c>
    </row>
    <row r="86" spans="2:16" x14ac:dyDescent="0.25">
      <c r="B86" s="63" t="s">
        <v>117</v>
      </c>
      <c r="C86" s="157">
        <f>1310+IF(C81="",0,(C81-C80)*100)</f>
        <v>1310</v>
      </c>
      <c r="D86" s="157">
        <f>1660+IF(D81="",0,(D81-D80)*100)</f>
        <v>1660</v>
      </c>
      <c r="E86" s="157">
        <f>2060+IF(E81="",0,(E81-E80)*100)</f>
        <v>2060</v>
      </c>
      <c r="F86" s="158">
        <f>2580+IF(F81="",0,(F81-F80)*100)</f>
        <v>2580</v>
      </c>
      <c r="H86" s="161"/>
      <c r="I86" s="162"/>
      <c r="J86" s="162"/>
      <c r="K86" s="163"/>
    </row>
    <row r="87" spans="2:16" x14ac:dyDescent="0.25">
      <c r="B87" s="63" t="s">
        <v>118</v>
      </c>
      <c r="C87" s="157">
        <v>0</v>
      </c>
      <c r="D87" s="157">
        <f>160+IF(D81="",0,(D81-D80)*10)</f>
        <v>160</v>
      </c>
      <c r="E87" s="157">
        <v>0</v>
      </c>
      <c r="F87" s="158">
        <f>230+IF(F81="",0,(F81-F80)*10)</f>
        <v>230</v>
      </c>
      <c r="H87" s="161"/>
      <c r="I87" s="162"/>
      <c r="J87" s="162"/>
      <c r="K87" s="163"/>
    </row>
    <row r="88" spans="2:16" x14ac:dyDescent="0.25">
      <c r="B88" s="63" t="s">
        <v>80</v>
      </c>
      <c r="C88" s="159">
        <v>240</v>
      </c>
      <c r="D88" s="159">
        <v>240</v>
      </c>
      <c r="E88" s="159">
        <v>240</v>
      </c>
      <c r="F88" s="160">
        <v>240</v>
      </c>
      <c r="H88" s="164"/>
      <c r="I88" s="165"/>
      <c r="J88" s="165"/>
      <c r="K88" s="166"/>
    </row>
    <row r="89" spans="2:16" x14ac:dyDescent="0.25">
      <c r="B89" s="63" t="s">
        <v>81</v>
      </c>
      <c r="C89" s="159">
        <v>180</v>
      </c>
      <c r="D89" s="159">
        <v>180</v>
      </c>
      <c r="E89" s="159">
        <v>180</v>
      </c>
      <c r="F89" s="160">
        <v>180</v>
      </c>
      <c r="H89" s="164"/>
      <c r="I89" s="165"/>
      <c r="J89" s="165"/>
      <c r="K89" s="166"/>
    </row>
    <row r="90" spans="2:16" x14ac:dyDescent="0.25">
      <c r="B90" s="63" t="s">
        <v>84</v>
      </c>
      <c r="C90" s="159">
        <v>-102</v>
      </c>
      <c r="D90" s="159">
        <v>-150</v>
      </c>
      <c r="E90" s="159">
        <v>-102</v>
      </c>
      <c r="F90" s="160">
        <v>-150</v>
      </c>
      <c r="H90" s="164"/>
      <c r="I90" s="165"/>
      <c r="J90" s="165"/>
      <c r="K90" s="166"/>
    </row>
    <row r="91" spans="2:16" x14ac:dyDescent="0.25">
      <c r="B91" s="63" t="s">
        <v>85</v>
      </c>
      <c r="C91" s="159">
        <v>-210</v>
      </c>
      <c r="D91" s="159">
        <v>-210</v>
      </c>
      <c r="E91" s="159">
        <v>0</v>
      </c>
      <c r="F91" s="160">
        <v>0</v>
      </c>
      <c r="H91" s="164"/>
      <c r="I91" s="165"/>
      <c r="J91" s="165"/>
      <c r="K91" s="166"/>
    </row>
    <row r="92" spans="2:16" x14ac:dyDescent="0.25">
      <c r="B92" s="63" t="s">
        <v>86</v>
      </c>
      <c r="C92" s="159">
        <v>22</v>
      </c>
      <c r="D92" s="159">
        <v>22</v>
      </c>
      <c r="E92" s="159">
        <v>22</v>
      </c>
      <c r="F92" s="160">
        <v>22</v>
      </c>
      <c r="H92" s="164"/>
      <c r="I92" s="165"/>
      <c r="J92" s="165"/>
      <c r="K92" s="166"/>
      <c r="M92" s="55" t="s">
        <v>87</v>
      </c>
      <c r="N92" s="56"/>
      <c r="O92" s="55" t="s">
        <v>88</v>
      </c>
      <c r="P92" s="56"/>
    </row>
    <row r="93" spans="2:16" x14ac:dyDescent="0.25">
      <c r="B93" s="57" t="s">
        <v>82</v>
      </c>
      <c r="C93" s="159">
        <v>-500</v>
      </c>
      <c r="D93" s="159">
        <v>-500</v>
      </c>
      <c r="E93" s="159">
        <v>-500</v>
      </c>
      <c r="F93" s="160">
        <v>-500</v>
      </c>
      <c r="H93" s="167"/>
      <c r="I93" s="168"/>
      <c r="J93" s="168"/>
      <c r="K93" s="169"/>
      <c r="M93" s="69" t="s">
        <v>89</v>
      </c>
      <c r="N93" s="70" t="s">
        <v>90</v>
      </c>
      <c r="O93" s="69" t="s">
        <v>89</v>
      </c>
      <c r="P93" s="70" t="s">
        <v>90</v>
      </c>
    </row>
    <row r="94" spans="2:16" x14ac:dyDescent="0.25">
      <c r="B94" s="80" t="s">
        <v>91</v>
      </c>
      <c r="C94" s="112">
        <f>C86+C87+C88+C89+C90+C91+C92</f>
        <v>1440</v>
      </c>
      <c r="D94" s="113">
        <f t="shared" ref="D94:F94" si="22">D86+D87+D88+D89+D90+D91+D92</f>
        <v>1902</v>
      </c>
      <c r="E94" s="113">
        <f t="shared" si="22"/>
        <v>2400</v>
      </c>
      <c r="F94" s="114">
        <f t="shared" si="22"/>
        <v>3102</v>
      </c>
      <c r="H94" s="112">
        <f>H86+H87+H88+H89+H90+H91+H92</f>
        <v>0</v>
      </c>
      <c r="I94" s="113">
        <f t="shared" ref="I94:K94" si="23">I86+I87+I88+I89+I90+I91+I92</f>
        <v>0</v>
      </c>
      <c r="J94" s="113">
        <f t="shared" si="23"/>
        <v>0</v>
      </c>
      <c r="K94" s="114">
        <f t="shared" si="23"/>
        <v>0</v>
      </c>
      <c r="M94" s="112">
        <f>IF(H94&lt;&gt;0,H94,C94)</f>
        <v>1440</v>
      </c>
      <c r="N94" s="113">
        <f t="shared" ref="N94:N95" si="24">IF(I94&lt;&gt;0,I94,D94)</f>
        <v>1902</v>
      </c>
      <c r="O94" s="113">
        <f t="shared" ref="O94:O95" si="25">IF(J94&lt;&gt;0,J94,E94)</f>
        <v>2400</v>
      </c>
      <c r="P94" s="114">
        <f t="shared" ref="P94:P95" si="26">IF(K94&lt;&gt;0,K94,F94)</f>
        <v>3102</v>
      </c>
    </row>
    <row r="95" spans="2:16" x14ac:dyDescent="0.25">
      <c r="B95" s="76" t="s">
        <v>92</v>
      </c>
      <c r="C95" s="115">
        <f>C86+C87+C88+C89+C90+C91+C92+C93</f>
        <v>940</v>
      </c>
      <c r="D95" s="116">
        <f t="shared" ref="D95:F95" si="27">D86+D87+D88+D89+D90+D91+D92+D93</f>
        <v>1402</v>
      </c>
      <c r="E95" s="116">
        <f t="shared" si="27"/>
        <v>1900</v>
      </c>
      <c r="F95" s="117">
        <f t="shared" si="27"/>
        <v>2602</v>
      </c>
      <c r="H95" s="115">
        <f>H86+H87+H88+H89+H90+H91+H92+H93</f>
        <v>0</v>
      </c>
      <c r="I95" s="116">
        <f t="shared" ref="I95:K95" si="28">I86+I87+I88+I89+I90+I91+I92+I93</f>
        <v>0</v>
      </c>
      <c r="J95" s="116">
        <f t="shared" si="28"/>
        <v>0</v>
      </c>
      <c r="K95" s="117">
        <f t="shared" si="28"/>
        <v>0</v>
      </c>
      <c r="M95" s="115">
        <f>IF(H95&lt;&gt;0,H95,C95)</f>
        <v>940</v>
      </c>
      <c r="N95" s="116">
        <f t="shared" si="24"/>
        <v>1402</v>
      </c>
      <c r="O95" s="116">
        <f t="shared" si="25"/>
        <v>1900</v>
      </c>
      <c r="P95" s="117">
        <f t="shared" si="26"/>
        <v>2602</v>
      </c>
    </row>
    <row r="97" spans="2:16" x14ac:dyDescent="0.25">
      <c r="B97" s="5" t="s">
        <v>99</v>
      </c>
      <c r="H97" s="5" t="s">
        <v>100</v>
      </c>
      <c r="K97" s="82"/>
      <c r="L97" s="83"/>
      <c r="M97" s="83"/>
      <c r="N97" s="83"/>
      <c r="O97" s="83"/>
      <c r="P97" s="84"/>
    </row>
    <row r="98" spans="2:16" x14ac:dyDescent="0.25">
      <c r="B98" s="51" t="s">
        <v>116</v>
      </c>
      <c r="C98" s="51" t="s">
        <v>119</v>
      </c>
      <c r="D98" s="51"/>
      <c r="E98" s="51"/>
      <c r="F98" s="51"/>
      <c r="G98" s="51"/>
      <c r="H98" s="51" t="s">
        <v>116</v>
      </c>
      <c r="I98" s="51"/>
      <c r="K98" s="85"/>
      <c r="L98" s="86"/>
      <c r="M98" s="86"/>
      <c r="N98" s="86"/>
      <c r="O98" s="86"/>
      <c r="P98" s="87"/>
    </row>
    <row r="99" spans="2:16" x14ac:dyDescent="0.25">
      <c r="B99" s="81" t="s">
        <v>117</v>
      </c>
      <c r="C99" s="51" t="s">
        <v>120</v>
      </c>
      <c r="D99" s="51"/>
      <c r="E99" s="51"/>
      <c r="F99" s="51"/>
      <c r="G99" s="51"/>
      <c r="H99" s="81" t="s">
        <v>117</v>
      </c>
      <c r="I99" s="51"/>
      <c r="K99" s="85"/>
      <c r="L99" s="86"/>
      <c r="M99" s="86"/>
      <c r="N99" s="86"/>
      <c r="O99" s="86"/>
      <c r="P99" s="87"/>
    </row>
    <row r="100" spans="2:16" x14ac:dyDescent="0.25">
      <c r="B100" s="81" t="s">
        <v>148</v>
      </c>
      <c r="C100" s="51" t="s">
        <v>149</v>
      </c>
      <c r="D100" s="51"/>
      <c r="E100" s="51"/>
      <c r="F100" s="51"/>
      <c r="G100" s="51"/>
      <c r="H100" s="81"/>
      <c r="I100" s="51"/>
      <c r="K100" s="85"/>
      <c r="L100" s="86"/>
      <c r="M100" s="86"/>
      <c r="N100" s="86"/>
      <c r="O100" s="86"/>
      <c r="P100" s="87"/>
    </row>
    <row r="101" spans="2:16" x14ac:dyDescent="0.25">
      <c r="B101" s="13" t="s">
        <v>80</v>
      </c>
      <c r="C101" s="2" t="s">
        <v>106</v>
      </c>
      <c r="H101" s="13" t="s">
        <v>80</v>
      </c>
      <c r="J101" s="79"/>
      <c r="K101" s="85"/>
      <c r="L101" s="86"/>
      <c r="M101" s="86"/>
      <c r="N101" s="86"/>
      <c r="O101" s="86"/>
      <c r="P101" s="87"/>
    </row>
    <row r="102" spans="2:16" x14ac:dyDescent="0.25">
      <c r="B102" s="13" t="s">
        <v>81</v>
      </c>
      <c r="C102" s="2" t="s">
        <v>107</v>
      </c>
      <c r="H102" s="13" t="s">
        <v>81</v>
      </c>
      <c r="J102" s="79"/>
      <c r="K102" s="85"/>
      <c r="L102" s="86"/>
      <c r="M102" s="86"/>
      <c r="N102" s="86"/>
      <c r="O102" s="86"/>
      <c r="P102" s="87"/>
    </row>
    <row r="103" spans="2:16" x14ac:dyDescent="0.25">
      <c r="B103" s="13" t="s">
        <v>84</v>
      </c>
      <c r="C103" s="2" t="s">
        <v>95</v>
      </c>
      <c r="H103" s="13" t="s">
        <v>84</v>
      </c>
      <c r="J103" s="79"/>
      <c r="K103" s="85"/>
      <c r="L103" s="86"/>
      <c r="M103" s="86"/>
      <c r="N103" s="86"/>
      <c r="O103" s="86"/>
      <c r="P103" s="87"/>
    </row>
    <row r="104" spans="2:16" x14ac:dyDescent="0.25">
      <c r="B104" s="13" t="s">
        <v>85</v>
      </c>
      <c r="C104" s="2" t="s">
        <v>96</v>
      </c>
      <c r="H104" s="13" t="s">
        <v>85</v>
      </c>
      <c r="J104" s="79"/>
      <c r="K104" s="85"/>
      <c r="L104" s="86"/>
      <c r="M104" s="86"/>
      <c r="N104" s="86"/>
      <c r="O104" s="86"/>
      <c r="P104" s="87"/>
    </row>
    <row r="105" spans="2:16" x14ac:dyDescent="0.25">
      <c r="B105" s="13" t="s">
        <v>86</v>
      </c>
      <c r="C105" s="2" t="s">
        <v>97</v>
      </c>
      <c r="H105" s="13" t="s">
        <v>86</v>
      </c>
      <c r="J105" s="79"/>
      <c r="K105" s="85"/>
      <c r="L105" s="86"/>
      <c r="M105" s="86"/>
      <c r="N105" s="86"/>
      <c r="O105" s="86"/>
      <c r="P105" s="87"/>
    </row>
    <row r="106" spans="2:16" x14ac:dyDescent="0.25">
      <c r="B106" s="13" t="s">
        <v>82</v>
      </c>
      <c r="C106" s="2" t="s">
        <v>98</v>
      </c>
      <c r="H106" s="13" t="s">
        <v>82</v>
      </c>
      <c r="J106" s="79"/>
      <c r="K106" s="88"/>
      <c r="L106" s="89"/>
      <c r="M106" s="89"/>
      <c r="N106" s="89"/>
      <c r="O106" s="89"/>
      <c r="P106" s="90"/>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D9582-1374-4E94-B242-6444A5D23A90}">
  <dimension ref="B1:P48"/>
  <sheetViews>
    <sheetView workbookViewId="0">
      <pane ySplit="2" topLeftCell="A3" activePane="bottomLeft" state="frozen"/>
      <selection pane="bottomLeft" activeCell="B23" sqref="B23"/>
    </sheetView>
  </sheetViews>
  <sheetFormatPr defaultRowHeight="11.5" x14ac:dyDescent="0.25"/>
  <cols>
    <col min="1" max="1" width="1.69921875" style="2" customWidth="1"/>
    <col min="2" max="2" width="31.5" style="2" customWidth="1"/>
    <col min="3" max="6" width="8.796875" style="2"/>
    <col min="7" max="7" width="4.8984375" style="2" customWidth="1"/>
    <col min="8" max="11" width="8.796875" style="2"/>
    <col min="12" max="12" width="5" style="2" customWidth="1"/>
    <col min="13" max="16384" width="8.796875" style="2"/>
  </cols>
  <sheetData>
    <row r="1" spans="2:16" ht="18" x14ac:dyDescent="0.4">
      <c r="B1" s="1" t="s">
        <v>123</v>
      </c>
    </row>
    <row r="2" spans="2:16" ht="11.5" customHeight="1" x14ac:dyDescent="0.25">
      <c r="B2" s="51"/>
    </row>
    <row r="3" spans="2:16" ht="11.5" customHeight="1" x14ac:dyDescent="0.25">
      <c r="B3" s="51" t="s">
        <v>103</v>
      </c>
    </row>
    <row r="4" spans="2:16" ht="11.5" customHeight="1" x14ac:dyDescent="0.25">
      <c r="B4" s="51" t="s">
        <v>104</v>
      </c>
    </row>
    <row r="5" spans="2:16" ht="11.5" customHeight="1" x14ac:dyDescent="0.25">
      <c r="B5" s="51"/>
    </row>
    <row r="6" spans="2:16" x14ac:dyDescent="0.25">
      <c r="B6" s="51"/>
    </row>
    <row r="7" spans="2:16" ht="14" x14ac:dyDescent="0.3">
      <c r="B7" s="30" t="s">
        <v>76</v>
      </c>
      <c r="C7" s="53" t="s">
        <v>101</v>
      </c>
      <c r="D7" s="53"/>
      <c r="E7" s="53"/>
      <c r="F7" s="53"/>
      <c r="H7" s="53" t="s">
        <v>102</v>
      </c>
      <c r="I7" s="53"/>
      <c r="J7" s="53"/>
      <c r="K7" s="53"/>
    </row>
    <row r="8" spans="2:16" ht="11.5" customHeight="1" x14ac:dyDescent="0.25">
      <c r="B8" s="54"/>
      <c r="C8" s="55" t="s">
        <v>87</v>
      </c>
      <c r="D8" s="56"/>
      <c r="E8" s="55" t="s">
        <v>88</v>
      </c>
      <c r="F8" s="56"/>
      <c r="H8" s="55" t="s">
        <v>87</v>
      </c>
      <c r="I8" s="56"/>
      <c r="J8" s="55" t="s">
        <v>88</v>
      </c>
      <c r="K8" s="56"/>
    </row>
    <row r="9" spans="2:16" x14ac:dyDescent="0.25">
      <c r="B9" s="57"/>
      <c r="C9" s="58" t="s">
        <v>89</v>
      </c>
      <c r="D9" s="59" t="s">
        <v>90</v>
      </c>
      <c r="E9" s="58" t="s">
        <v>89</v>
      </c>
      <c r="F9" s="59" t="s">
        <v>90</v>
      </c>
      <c r="H9" s="58" t="s">
        <v>89</v>
      </c>
      <c r="I9" s="59" t="s">
        <v>90</v>
      </c>
      <c r="J9" s="58" t="s">
        <v>89</v>
      </c>
      <c r="K9" s="59" t="s">
        <v>90</v>
      </c>
    </row>
    <row r="10" spans="2:16" x14ac:dyDescent="0.25">
      <c r="B10" s="54" t="s">
        <v>80</v>
      </c>
      <c r="C10" s="60">
        <v>240</v>
      </c>
      <c r="D10" s="61">
        <v>240</v>
      </c>
      <c r="E10" s="61">
        <v>240</v>
      </c>
      <c r="F10" s="62">
        <v>240</v>
      </c>
      <c r="H10" s="82"/>
      <c r="I10" s="83"/>
      <c r="J10" s="83"/>
      <c r="K10" s="84"/>
    </row>
    <row r="11" spans="2:16" x14ac:dyDescent="0.25">
      <c r="B11" s="63" t="s">
        <v>81</v>
      </c>
      <c r="C11" s="64">
        <v>120</v>
      </c>
      <c r="D11" s="13">
        <v>120</v>
      </c>
      <c r="E11" s="13">
        <v>120</v>
      </c>
      <c r="F11" s="65">
        <v>120</v>
      </c>
      <c r="H11" s="85"/>
      <c r="I11" s="86"/>
      <c r="J11" s="86"/>
      <c r="K11" s="87"/>
    </row>
    <row r="12" spans="2:16" x14ac:dyDescent="0.25">
      <c r="B12" s="63" t="s">
        <v>84</v>
      </c>
      <c r="C12" s="64">
        <v>0</v>
      </c>
      <c r="D12" s="13">
        <v>0</v>
      </c>
      <c r="E12" s="13">
        <v>0</v>
      </c>
      <c r="F12" s="65">
        <v>0</v>
      </c>
      <c r="H12" s="85"/>
      <c r="I12" s="86"/>
      <c r="J12" s="86"/>
      <c r="K12" s="87"/>
    </row>
    <row r="13" spans="2:16" x14ac:dyDescent="0.25">
      <c r="B13" s="63" t="s">
        <v>85</v>
      </c>
      <c r="C13" s="64">
        <v>0</v>
      </c>
      <c r="D13" s="13">
        <v>0</v>
      </c>
      <c r="E13" s="13">
        <v>0</v>
      </c>
      <c r="F13" s="65">
        <v>0</v>
      </c>
      <c r="H13" s="85"/>
      <c r="I13" s="86"/>
      <c r="J13" s="86"/>
      <c r="K13" s="87"/>
    </row>
    <row r="14" spans="2:16" x14ac:dyDescent="0.25">
      <c r="B14" s="63" t="s">
        <v>86</v>
      </c>
      <c r="C14" s="64">
        <v>90</v>
      </c>
      <c r="D14" s="13">
        <v>90</v>
      </c>
      <c r="E14" s="13">
        <v>90</v>
      </c>
      <c r="F14" s="65">
        <v>90</v>
      </c>
      <c r="H14" s="85"/>
      <c r="I14" s="86"/>
      <c r="J14" s="86"/>
      <c r="K14" s="87"/>
      <c r="M14" s="55" t="s">
        <v>87</v>
      </c>
      <c r="N14" s="56"/>
      <c r="O14" s="55" t="s">
        <v>88</v>
      </c>
      <c r="P14" s="56"/>
    </row>
    <row r="15" spans="2:16" x14ac:dyDescent="0.25">
      <c r="B15" s="57" t="s">
        <v>82</v>
      </c>
      <c r="C15" s="66">
        <v>-250</v>
      </c>
      <c r="D15" s="67">
        <v>-250</v>
      </c>
      <c r="E15" s="67">
        <v>-250</v>
      </c>
      <c r="F15" s="68">
        <v>-250</v>
      </c>
      <c r="H15" s="88"/>
      <c r="I15" s="89"/>
      <c r="J15" s="89"/>
      <c r="K15" s="90"/>
      <c r="M15" s="69" t="s">
        <v>89</v>
      </c>
      <c r="N15" s="70" t="s">
        <v>90</v>
      </c>
      <c r="O15" s="69" t="s">
        <v>89</v>
      </c>
      <c r="P15" s="70" t="s">
        <v>90</v>
      </c>
    </row>
    <row r="16" spans="2:16" x14ac:dyDescent="0.25">
      <c r="B16" s="71" t="s">
        <v>91</v>
      </c>
      <c r="C16" s="72">
        <f>C10+C11+C12+C13+C14</f>
        <v>450</v>
      </c>
      <c r="D16" s="73">
        <f t="shared" ref="D16:F16" si="0">D10+D11+D12+D13+D14</f>
        <v>450</v>
      </c>
      <c r="E16" s="73">
        <f t="shared" si="0"/>
        <v>450</v>
      </c>
      <c r="F16" s="74">
        <f t="shared" si="0"/>
        <v>450</v>
      </c>
      <c r="H16" s="72">
        <f>H10+H11+H12+H13+H14</f>
        <v>0</v>
      </c>
      <c r="I16" s="73">
        <f t="shared" ref="I16:K16" si="1">I10+I11+I12+I13+I14</f>
        <v>0</v>
      </c>
      <c r="J16" s="73">
        <f t="shared" si="1"/>
        <v>0</v>
      </c>
      <c r="K16" s="74">
        <f t="shared" si="1"/>
        <v>0</v>
      </c>
      <c r="M16" s="72">
        <f>IF(H16&lt;&gt;0,H16,C16)</f>
        <v>450</v>
      </c>
      <c r="N16" s="73">
        <f t="shared" ref="N16:P17" si="2">IF(I16&lt;&gt;0,I16,D16)</f>
        <v>450</v>
      </c>
      <c r="O16" s="73">
        <f t="shared" si="2"/>
        <v>450</v>
      </c>
      <c r="P16" s="74">
        <f t="shared" si="2"/>
        <v>450</v>
      </c>
    </row>
    <row r="17" spans="2:16" x14ac:dyDescent="0.25">
      <c r="B17" s="75" t="s">
        <v>92</v>
      </c>
      <c r="C17" s="76">
        <f>C10+C11+C12+C13+C14+C15</f>
        <v>200</v>
      </c>
      <c r="D17" s="77">
        <f t="shared" ref="D17:F17" si="3">D10+D11+D12+D13+D14+D15</f>
        <v>200</v>
      </c>
      <c r="E17" s="77">
        <f t="shared" si="3"/>
        <v>200</v>
      </c>
      <c r="F17" s="78">
        <f t="shared" si="3"/>
        <v>200</v>
      </c>
      <c r="H17" s="76">
        <f>H10+H11+H12+H13+H14+H15</f>
        <v>0</v>
      </c>
      <c r="I17" s="77">
        <f t="shared" ref="I17:K17" si="4">I10+I11+I12+I13+I14+I15</f>
        <v>0</v>
      </c>
      <c r="J17" s="77">
        <f t="shared" si="4"/>
        <v>0</v>
      </c>
      <c r="K17" s="78">
        <f t="shared" si="4"/>
        <v>0</v>
      </c>
      <c r="M17" s="76">
        <f>IF(H17&lt;&gt;0,H17,C17)</f>
        <v>200</v>
      </c>
      <c r="N17" s="77">
        <f t="shared" si="2"/>
        <v>200</v>
      </c>
      <c r="O17" s="77">
        <f t="shared" si="2"/>
        <v>200</v>
      </c>
      <c r="P17" s="78">
        <f t="shared" si="2"/>
        <v>200</v>
      </c>
    </row>
    <row r="19" spans="2:16" x14ac:dyDescent="0.25">
      <c r="B19" s="5" t="s">
        <v>99</v>
      </c>
      <c r="H19" s="5" t="s">
        <v>100</v>
      </c>
      <c r="K19" s="82"/>
      <c r="L19" s="83"/>
      <c r="M19" s="83"/>
      <c r="N19" s="83"/>
      <c r="O19" s="83"/>
      <c r="P19" s="84"/>
    </row>
    <row r="20" spans="2:16" x14ac:dyDescent="0.25">
      <c r="B20" s="13" t="s">
        <v>80</v>
      </c>
      <c r="C20" s="2" t="s">
        <v>124</v>
      </c>
      <c r="H20" s="13" t="s">
        <v>80</v>
      </c>
      <c r="J20" s="79"/>
      <c r="K20" s="85"/>
      <c r="L20" s="86"/>
      <c r="M20" s="86"/>
      <c r="N20" s="86"/>
      <c r="O20" s="86"/>
      <c r="P20" s="87"/>
    </row>
    <row r="21" spans="2:16" x14ac:dyDescent="0.25">
      <c r="B21" s="13" t="s">
        <v>81</v>
      </c>
      <c r="C21" s="2" t="s">
        <v>126</v>
      </c>
      <c r="H21" s="13" t="s">
        <v>81</v>
      </c>
      <c r="J21" s="79"/>
      <c r="K21" s="85"/>
      <c r="L21" s="86"/>
      <c r="M21" s="86"/>
      <c r="N21" s="86"/>
      <c r="O21" s="86"/>
      <c r="P21" s="87"/>
    </row>
    <row r="22" spans="2:16" x14ac:dyDescent="0.25">
      <c r="B22" s="13" t="s">
        <v>84</v>
      </c>
      <c r="H22" s="13" t="s">
        <v>84</v>
      </c>
      <c r="J22" s="79"/>
      <c r="K22" s="85"/>
      <c r="L22" s="86"/>
      <c r="M22" s="86"/>
      <c r="N22" s="86"/>
      <c r="O22" s="86"/>
      <c r="P22" s="87"/>
    </row>
    <row r="23" spans="2:16" x14ac:dyDescent="0.25">
      <c r="B23" s="13" t="s">
        <v>85</v>
      </c>
      <c r="H23" s="13" t="s">
        <v>85</v>
      </c>
      <c r="J23" s="79"/>
      <c r="K23" s="85"/>
      <c r="L23" s="86"/>
      <c r="M23" s="86"/>
      <c r="N23" s="86"/>
      <c r="O23" s="86"/>
      <c r="P23" s="87"/>
    </row>
    <row r="24" spans="2:16" x14ac:dyDescent="0.25">
      <c r="B24" s="13" t="s">
        <v>86</v>
      </c>
      <c r="C24" s="2" t="s">
        <v>125</v>
      </c>
      <c r="H24" s="13" t="s">
        <v>86</v>
      </c>
      <c r="J24" s="79"/>
      <c r="K24" s="85"/>
      <c r="L24" s="86"/>
      <c r="M24" s="86"/>
      <c r="N24" s="86"/>
      <c r="O24" s="86"/>
      <c r="P24" s="87"/>
    </row>
    <row r="25" spans="2:16" x14ac:dyDescent="0.25">
      <c r="B25" s="13" t="s">
        <v>82</v>
      </c>
      <c r="C25" s="2" t="s">
        <v>98</v>
      </c>
      <c r="H25" s="13" t="s">
        <v>82</v>
      </c>
      <c r="J25" s="79"/>
      <c r="K25" s="88"/>
      <c r="L25" s="89"/>
      <c r="M25" s="89"/>
      <c r="N25" s="89"/>
      <c r="O25" s="89"/>
      <c r="P25" s="90"/>
    </row>
    <row r="26" spans="2:16" ht="11.5" customHeight="1" x14ac:dyDescent="0.25"/>
    <row r="27" spans="2:16" ht="11.5" customHeight="1" x14ac:dyDescent="0.25"/>
    <row r="28" spans="2:16" ht="11.5" customHeight="1" x14ac:dyDescent="0.25"/>
    <row r="29" spans="2:16" ht="14" x14ac:dyDescent="0.3">
      <c r="B29" s="30" t="s">
        <v>77</v>
      </c>
      <c r="C29" s="53" t="s">
        <v>101</v>
      </c>
      <c r="D29" s="53"/>
      <c r="E29" s="53"/>
      <c r="F29" s="53"/>
      <c r="H29" s="53" t="s">
        <v>102</v>
      </c>
      <c r="I29" s="53"/>
      <c r="J29" s="53"/>
      <c r="K29" s="53"/>
    </row>
    <row r="30" spans="2:16" ht="11.5" customHeight="1" x14ac:dyDescent="0.25">
      <c r="B30" s="54"/>
      <c r="C30" s="55" t="s">
        <v>87</v>
      </c>
      <c r="D30" s="56"/>
      <c r="E30" s="55" t="s">
        <v>88</v>
      </c>
      <c r="F30" s="56"/>
      <c r="H30" s="55" t="s">
        <v>87</v>
      </c>
      <c r="I30" s="56"/>
      <c r="J30" s="55" t="s">
        <v>88</v>
      </c>
      <c r="K30" s="56"/>
    </row>
    <row r="31" spans="2:16" x14ac:dyDescent="0.25">
      <c r="B31" s="57"/>
      <c r="C31" s="58" t="s">
        <v>89</v>
      </c>
      <c r="D31" s="59" t="s">
        <v>90</v>
      </c>
      <c r="E31" s="58" t="s">
        <v>89</v>
      </c>
      <c r="F31" s="59" t="s">
        <v>90</v>
      </c>
      <c r="H31" s="69" t="s">
        <v>89</v>
      </c>
      <c r="I31" s="70" t="s">
        <v>90</v>
      </c>
      <c r="J31" s="69" t="s">
        <v>89</v>
      </c>
      <c r="K31" s="70" t="s">
        <v>90</v>
      </c>
    </row>
    <row r="32" spans="2:16" x14ac:dyDescent="0.25">
      <c r="B32" s="54" t="s">
        <v>80</v>
      </c>
      <c r="C32" s="60">
        <v>0</v>
      </c>
      <c r="D32" s="61">
        <v>0</v>
      </c>
      <c r="E32" s="61">
        <v>0</v>
      </c>
      <c r="F32" s="62">
        <v>0</v>
      </c>
      <c r="H32" s="82"/>
      <c r="I32" s="83"/>
      <c r="J32" s="83"/>
      <c r="K32" s="84"/>
    </row>
    <row r="33" spans="2:16" x14ac:dyDescent="0.25">
      <c r="B33" s="63" t="s">
        <v>81</v>
      </c>
      <c r="C33" s="64">
        <v>0</v>
      </c>
      <c r="D33" s="13">
        <v>0</v>
      </c>
      <c r="E33" s="13">
        <v>0</v>
      </c>
      <c r="F33" s="65">
        <v>0</v>
      </c>
      <c r="H33" s="85"/>
      <c r="I33" s="86"/>
      <c r="J33" s="86"/>
      <c r="K33" s="87"/>
    </row>
    <row r="34" spans="2:16" x14ac:dyDescent="0.25">
      <c r="B34" s="63" t="s">
        <v>84</v>
      </c>
      <c r="C34" s="64">
        <v>0</v>
      </c>
      <c r="D34" s="13">
        <v>0</v>
      </c>
      <c r="E34" s="13">
        <v>0</v>
      </c>
      <c r="F34" s="65">
        <v>0</v>
      </c>
      <c r="H34" s="85"/>
      <c r="I34" s="86"/>
      <c r="J34" s="86"/>
      <c r="K34" s="87"/>
    </row>
    <row r="35" spans="2:16" x14ac:dyDescent="0.25">
      <c r="B35" s="63" t="s">
        <v>85</v>
      </c>
      <c r="C35" s="64">
        <v>0</v>
      </c>
      <c r="D35" s="13">
        <v>0</v>
      </c>
      <c r="E35" s="13">
        <v>0</v>
      </c>
      <c r="F35" s="65">
        <v>0</v>
      </c>
      <c r="H35" s="85"/>
      <c r="I35" s="86"/>
      <c r="J35" s="86"/>
      <c r="K35" s="87"/>
    </row>
    <row r="36" spans="2:16" x14ac:dyDescent="0.25">
      <c r="B36" s="63" t="s">
        <v>86</v>
      </c>
      <c r="C36" s="64">
        <v>0</v>
      </c>
      <c r="D36" s="13">
        <v>0</v>
      </c>
      <c r="E36" s="13">
        <v>0</v>
      </c>
      <c r="F36" s="65">
        <v>0</v>
      </c>
      <c r="H36" s="85"/>
      <c r="I36" s="86"/>
      <c r="J36" s="86"/>
      <c r="K36" s="87"/>
      <c r="M36" s="55" t="s">
        <v>87</v>
      </c>
      <c r="N36" s="56"/>
      <c r="O36" s="55" t="s">
        <v>88</v>
      </c>
      <c r="P36" s="56"/>
    </row>
    <row r="37" spans="2:16" x14ac:dyDescent="0.25">
      <c r="B37" s="57" t="s">
        <v>82</v>
      </c>
      <c r="C37" s="66">
        <v>-250</v>
      </c>
      <c r="D37" s="67">
        <v>-250</v>
      </c>
      <c r="E37" s="67">
        <v>-250</v>
      </c>
      <c r="F37" s="68">
        <v>-250</v>
      </c>
      <c r="H37" s="88"/>
      <c r="I37" s="89"/>
      <c r="J37" s="89"/>
      <c r="K37" s="90"/>
      <c r="M37" s="69" t="s">
        <v>89</v>
      </c>
      <c r="N37" s="70" t="s">
        <v>90</v>
      </c>
      <c r="O37" s="69" t="s">
        <v>89</v>
      </c>
      <c r="P37" s="70" t="s">
        <v>90</v>
      </c>
    </row>
    <row r="38" spans="2:16" x14ac:dyDescent="0.25">
      <c r="B38" s="71" t="s">
        <v>91</v>
      </c>
      <c r="C38" s="72">
        <f>C32+C33+C34+C35+C36</f>
        <v>0</v>
      </c>
      <c r="D38" s="73">
        <f t="shared" ref="D38:F38" si="5">D32+D33+D34+D35+D36</f>
        <v>0</v>
      </c>
      <c r="E38" s="73">
        <f t="shared" si="5"/>
        <v>0</v>
      </c>
      <c r="F38" s="74">
        <f t="shared" si="5"/>
        <v>0</v>
      </c>
      <c r="H38" s="80">
        <f>H32+H33+H34+H35+H36</f>
        <v>0</v>
      </c>
      <c r="I38" s="12">
        <f t="shared" ref="I38:K38" si="6">I32+I33+I34+I35+I36</f>
        <v>0</v>
      </c>
      <c r="J38" s="12">
        <f t="shared" si="6"/>
        <v>0</v>
      </c>
      <c r="K38" s="100">
        <f t="shared" si="6"/>
        <v>0</v>
      </c>
      <c r="M38" s="72">
        <f>IF(H38&lt;&gt;0,H38,C38)</f>
        <v>0</v>
      </c>
      <c r="N38" s="73">
        <f t="shared" ref="N38:N39" si="7">IF(I38&lt;&gt;0,I38,D38)</f>
        <v>0</v>
      </c>
      <c r="O38" s="73">
        <f t="shared" ref="O38:O39" si="8">IF(J38&lt;&gt;0,J38,E38)</f>
        <v>0</v>
      </c>
      <c r="P38" s="74">
        <f t="shared" ref="P38:P39" si="9">IF(K38&lt;&gt;0,K38,F38)</f>
        <v>0</v>
      </c>
    </row>
    <row r="39" spans="2:16" x14ac:dyDescent="0.25">
      <c r="B39" s="75" t="s">
        <v>92</v>
      </c>
      <c r="C39" s="76">
        <f>C32+C33+C34+C35+C36+C37</f>
        <v>-250</v>
      </c>
      <c r="D39" s="77">
        <f t="shared" ref="D39:F39" si="10">D32+D33+D34+D35+D36+D37</f>
        <v>-250</v>
      </c>
      <c r="E39" s="77">
        <f t="shared" si="10"/>
        <v>-250</v>
      </c>
      <c r="F39" s="78">
        <f t="shared" si="10"/>
        <v>-250</v>
      </c>
      <c r="H39" s="76">
        <f>H32+H33+H34+H35+H36+H37</f>
        <v>0</v>
      </c>
      <c r="I39" s="77">
        <f t="shared" ref="I39:K39" si="11">I32+I33+I34+I35+I36+I37</f>
        <v>0</v>
      </c>
      <c r="J39" s="77">
        <f t="shared" si="11"/>
        <v>0</v>
      </c>
      <c r="K39" s="78">
        <f t="shared" si="11"/>
        <v>0</v>
      </c>
      <c r="M39" s="76">
        <f>IF(H39&lt;&gt;0,H39,C39)</f>
        <v>-250</v>
      </c>
      <c r="N39" s="77">
        <f t="shared" si="7"/>
        <v>-250</v>
      </c>
      <c r="O39" s="77">
        <f t="shared" si="8"/>
        <v>-250</v>
      </c>
      <c r="P39" s="78">
        <f t="shared" si="9"/>
        <v>-250</v>
      </c>
    </row>
    <row r="41" spans="2:16" x14ac:dyDescent="0.25">
      <c r="B41" s="5" t="s">
        <v>99</v>
      </c>
      <c r="H41" s="5" t="s">
        <v>100</v>
      </c>
      <c r="K41" s="82"/>
      <c r="L41" s="83"/>
      <c r="M41" s="83"/>
      <c r="N41" s="83"/>
      <c r="O41" s="83"/>
      <c r="P41" s="84"/>
    </row>
    <row r="42" spans="2:16" x14ac:dyDescent="0.25">
      <c r="B42" s="13" t="s">
        <v>80</v>
      </c>
      <c r="C42" s="2" t="s">
        <v>127</v>
      </c>
      <c r="H42" s="13" t="s">
        <v>80</v>
      </c>
      <c r="J42" s="79"/>
      <c r="K42" s="85"/>
      <c r="L42" s="86"/>
      <c r="M42" s="86"/>
      <c r="N42" s="86"/>
      <c r="O42" s="86"/>
      <c r="P42" s="87"/>
    </row>
    <row r="43" spans="2:16" x14ac:dyDescent="0.25">
      <c r="B43" s="13" t="s">
        <v>81</v>
      </c>
      <c r="H43" s="13" t="s">
        <v>81</v>
      </c>
      <c r="J43" s="79"/>
      <c r="K43" s="85"/>
      <c r="L43" s="86"/>
      <c r="M43" s="86"/>
      <c r="N43" s="86"/>
      <c r="O43" s="86"/>
      <c r="P43" s="87"/>
    </row>
    <row r="44" spans="2:16" x14ac:dyDescent="0.25">
      <c r="B44" s="13" t="s">
        <v>84</v>
      </c>
      <c r="H44" s="13" t="s">
        <v>84</v>
      </c>
      <c r="J44" s="79"/>
      <c r="K44" s="85"/>
      <c r="L44" s="86"/>
      <c r="M44" s="86"/>
      <c r="N44" s="86"/>
      <c r="O44" s="86"/>
      <c r="P44" s="87"/>
    </row>
    <row r="45" spans="2:16" x14ac:dyDescent="0.25">
      <c r="B45" s="13" t="s">
        <v>85</v>
      </c>
      <c r="H45" s="13" t="s">
        <v>85</v>
      </c>
      <c r="J45" s="79"/>
      <c r="K45" s="85"/>
      <c r="L45" s="86"/>
      <c r="M45" s="86"/>
      <c r="N45" s="86"/>
      <c r="O45" s="86"/>
      <c r="P45" s="87"/>
    </row>
    <row r="46" spans="2:16" x14ac:dyDescent="0.25">
      <c r="B46" s="13" t="s">
        <v>86</v>
      </c>
      <c r="C46" s="2" t="s">
        <v>128</v>
      </c>
      <c r="H46" s="13" t="s">
        <v>86</v>
      </c>
      <c r="J46" s="79"/>
      <c r="K46" s="85"/>
      <c r="L46" s="86"/>
      <c r="M46" s="86"/>
      <c r="N46" s="86"/>
      <c r="O46" s="86"/>
      <c r="P46" s="87"/>
    </row>
    <row r="47" spans="2:16" x14ac:dyDescent="0.25">
      <c r="B47" s="13" t="s">
        <v>82</v>
      </c>
      <c r="C47" s="2" t="s">
        <v>98</v>
      </c>
      <c r="H47" s="13" t="s">
        <v>82</v>
      </c>
      <c r="J47" s="79"/>
      <c r="K47" s="88"/>
      <c r="L47" s="89"/>
      <c r="M47" s="89"/>
      <c r="N47" s="89"/>
      <c r="O47" s="89"/>
      <c r="P47" s="90"/>
    </row>
    <row r="48" spans="2:16" ht="11.5" customHeight="1" x14ac:dyDescent="0.25"/>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8A346-1C8C-4531-9725-7D532E83B746}">
  <dimension ref="B1:P59"/>
  <sheetViews>
    <sheetView workbookViewId="0">
      <pane ySplit="2" topLeftCell="A3" activePane="bottomLeft" state="frozen"/>
      <selection pane="bottomLeft" activeCell="H10" sqref="H10"/>
    </sheetView>
  </sheetViews>
  <sheetFormatPr defaultRowHeight="11.5" x14ac:dyDescent="0.25"/>
  <cols>
    <col min="1" max="1" width="1.69921875" style="2" customWidth="1"/>
    <col min="2" max="2" width="28.69921875" style="2" customWidth="1"/>
    <col min="3" max="6" width="8.796875" style="2"/>
    <col min="7" max="7" width="4.5" style="2" customWidth="1"/>
    <col min="8" max="11" width="8.796875" style="2"/>
    <col min="12" max="12" width="4.8984375" style="2" customWidth="1"/>
    <col min="13" max="16384" width="8.796875" style="2"/>
  </cols>
  <sheetData>
    <row r="1" spans="2:16" ht="18" x14ac:dyDescent="0.4">
      <c r="B1" s="1" t="s">
        <v>67</v>
      </c>
    </row>
    <row r="2" spans="2:16" ht="11.5" customHeight="1" x14ac:dyDescent="0.25">
      <c r="B2" s="51"/>
    </row>
    <row r="3" spans="2:16" ht="11.5" customHeight="1" x14ac:dyDescent="0.25">
      <c r="B3" s="51" t="s">
        <v>103</v>
      </c>
    </row>
    <row r="4" spans="2:16" ht="11.5" customHeight="1" x14ac:dyDescent="0.25">
      <c r="B4" s="51" t="s">
        <v>104</v>
      </c>
    </row>
    <row r="5" spans="2:16" ht="11.5" customHeight="1" x14ac:dyDescent="0.25">
      <c r="B5" s="51"/>
    </row>
    <row r="7" spans="2:16" ht="14" x14ac:dyDescent="0.3">
      <c r="B7" s="30" t="s">
        <v>67</v>
      </c>
      <c r="C7" s="53" t="s">
        <v>101</v>
      </c>
      <c r="D7" s="53"/>
      <c r="E7" s="53"/>
      <c r="F7" s="53"/>
      <c r="H7" s="53" t="s">
        <v>102</v>
      </c>
      <c r="I7" s="53"/>
      <c r="J7" s="53"/>
      <c r="K7" s="53"/>
    </row>
    <row r="8" spans="2:16" ht="11.5" customHeight="1" x14ac:dyDescent="0.25">
      <c r="B8" s="54" t="s">
        <v>133</v>
      </c>
      <c r="C8" s="55" t="s">
        <v>87</v>
      </c>
      <c r="D8" s="56"/>
      <c r="E8" s="55" t="s">
        <v>88</v>
      </c>
      <c r="F8" s="56"/>
      <c r="H8" s="55" t="s">
        <v>87</v>
      </c>
      <c r="I8" s="56"/>
      <c r="J8" s="55" t="s">
        <v>88</v>
      </c>
      <c r="K8" s="56"/>
    </row>
    <row r="9" spans="2:16" x14ac:dyDescent="0.25">
      <c r="B9" s="57" t="s">
        <v>134</v>
      </c>
      <c r="C9" s="58" t="s">
        <v>89</v>
      </c>
      <c r="D9" s="59" t="s">
        <v>90</v>
      </c>
      <c r="E9" s="58" t="s">
        <v>89</v>
      </c>
      <c r="F9" s="59" t="s">
        <v>90</v>
      </c>
      <c r="H9" s="69" t="s">
        <v>89</v>
      </c>
      <c r="I9" s="70" t="s">
        <v>90</v>
      </c>
      <c r="J9" s="69" t="s">
        <v>89</v>
      </c>
      <c r="K9" s="70" t="s">
        <v>90</v>
      </c>
    </row>
    <row r="10" spans="2:16" x14ac:dyDescent="0.25">
      <c r="B10" s="54" t="s">
        <v>80</v>
      </c>
      <c r="C10" s="60">
        <v>0</v>
      </c>
      <c r="D10" s="61">
        <v>0</v>
      </c>
      <c r="E10" s="61">
        <v>0</v>
      </c>
      <c r="F10" s="62">
        <v>0</v>
      </c>
      <c r="H10" s="82"/>
      <c r="I10" s="83"/>
      <c r="J10" s="83"/>
      <c r="K10" s="84"/>
    </row>
    <row r="11" spans="2:16" x14ac:dyDescent="0.25">
      <c r="B11" s="63" t="s">
        <v>81</v>
      </c>
      <c r="C11" s="64">
        <v>0</v>
      </c>
      <c r="D11" s="13">
        <v>0</v>
      </c>
      <c r="E11" s="13">
        <v>0</v>
      </c>
      <c r="F11" s="65">
        <v>0</v>
      </c>
      <c r="H11" s="85"/>
      <c r="I11" s="86"/>
      <c r="J11" s="86"/>
      <c r="K11" s="87"/>
    </row>
    <row r="12" spans="2:16" x14ac:dyDescent="0.25">
      <c r="B12" s="63" t="s">
        <v>129</v>
      </c>
      <c r="C12" s="64">
        <v>0</v>
      </c>
      <c r="D12" s="13">
        <v>0</v>
      </c>
      <c r="E12" s="13">
        <v>0</v>
      </c>
      <c r="F12" s="65">
        <v>0</v>
      </c>
      <c r="H12" s="85"/>
      <c r="I12" s="86"/>
      <c r="J12" s="86"/>
      <c r="K12" s="87"/>
    </row>
    <row r="13" spans="2:16" x14ac:dyDescent="0.25">
      <c r="B13" s="63" t="s">
        <v>109</v>
      </c>
      <c r="C13" s="64">
        <v>0</v>
      </c>
      <c r="D13" s="13">
        <v>0</v>
      </c>
      <c r="E13" s="13">
        <v>0</v>
      </c>
      <c r="F13" s="65">
        <v>0</v>
      </c>
      <c r="H13" s="85"/>
      <c r="I13" s="86"/>
      <c r="J13" s="86"/>
      <c r="K13" s="87"/>
    </row>
    <row r="14" spans="2:16" x14ac:dyDescent="0.25">
      <c r="B14" s="63" t="s">
        <v>130</v>
      </c>
      <c r="C14" s="64">
        <v>0</v>
      </c>
      <c r="D14" s="13">
        <v>0</v>
      </c>
      <c r="E14" s="13">
        <v>0</v>
      </c>
      <c r="F14" s="65">
        <v>0</v>
      </c>
      <c r="H14" s="85"/>
      <c r="I14" s="86"/>
      <c r="J14" s="86"/>
      <c r="K14" s="87"/>
      <c r="M14" s="55" t="s">
        <v>87</v>
      </c>
      <c r="N14" s="56"/>
      <c r="O14" s="55" t="s">
        <v>88</v>
      </c>
      <c r="P14" s="56"/>
    </row>
    <row r="15" spans="2:16" x14ac:dyDescent="0.25">
      <c r="B15" s="57" t="s">
        <v>82</v>
      </c>
      <c r="C15" s="66">
        <v>-250</v>
      </c>
      <c r="D15" s="67">
        <v>-250</v>
      </c>
      <c r="E15" s="67">
        <v>-250</v>
      </c>
      <c r="F15" s="68">
        <v>-250</v>
      </c>
      <c r="H15" s="88"/>
      <c r="I15" s="89"/>
      <c r="J15" s="89"/>
      <c r="K15" s="90"/>
      <c r="M15" s="69" t="s">
        <v>89</v>
      </c>
      <c r="N15" s="70" t="s">
        <v>90</v>
      </c>
      <c r="O15" s="69" t="s">
        <v>89</v>
      </c>
      <c r="P15" s="70" t="s">
        <v>90</v>
      </c>
    </row>
    <row r="16" spans="2:16" x14ac:dyDescent="0.25">
      <c r="B16" s="71" t="s">
        <v>91</v>
      </c>
      <c r="C16" s="72">
        <f>C10+C11+C12+C13+C14</f>
        <v>0</v>
      </c>
      <c r="D16" s="73">
        <f t="shared" ref="D16:F16" si="0">D10+D11+D12+D13+D14</f>
        <v>0</v>
      </c>
      <c r="E16" s="73">
        <f t="shared" si="0"/>
        <v>0</v>
      </c>
      <c r="F16" s="74">
        <f t="shared" si="0"/>
        <v>0</v>
      </c>
      <c r="H16" s="80">
        <f>H10+H11+H12+H13+H14</f>
        <v>0</v>
      </c>
      <c r="I16" s="12">
        <f t="shared" ref="I16:K16" si="1">I10+I11+I12+I13+I14</f>
        <v>0</v>
      </c>
      <c r="J16" s="12">
        <f t="shared" si="1"/>
        <v>0</v>
      </c>
      <c r="K16" s="100">
        <f t="shared" si="1"/>
        <v>0</v>
      </c>
      <c r="M16" s="72">
        <f>IF(H16&lt;&gt;0,H16,C16)</f>
        <v>0</v>
      </c>
      <c r="N16" s="73">
        <f t="shared" ref="N16:P17" si="2">IF(I16&lt;&gt;0,I16,D16)</f>
        <v>0</v>
      </c>
      <c r="O16" s="73">
        <f t="shared" si="2"/>
        <v>0</v>
      </c>
      <c r="P16" s="74">
        <f t="shared" si="2"/>
        <v>0</v>
      </c>
    </row>
    <row r="17" spans="2:16" x14ac:dyDescent="0.25">
      <c r="B17" s="75" t="s">
        <v>92</v>
      </c>
      <c r="C17" s="76">
        <f>C10+C11+C12+C13+C14+C15</f>
        <v>-250</v>
      </c>
      <c r="D17" s="77">
        <f t="shared" ref="D17:F17" si="3">D10+D11+D12+D13+D14+D15</f>
        <v>-250</v>
      </c>
      <c r="E17" s="77">
        <f t="shared" si="3"/>
        <v>-250</v>
      </c>
      <c r="F17" s="78">
        <f t="shared" si="3"/>
        <v>-250</v>
      </c>
      <c r="H17" s="76">
        <f>H10+H11+H12+H13+H14+H15</f>
        <v>0</v>
      </c>
      <c r="I17" s="77">
        <f t="shared" ref="I17:K17" si="4">I10+I11+I12+I13+I14+I15</f>
        <v>0</v>
      </c>
      <c r="J17" s="77">
        <f t="shared" si="4"/>
        <v>0</v>
      </c>
      <c r="K17" s="78">
        <f t="shared" si="4"/>
        <v>0</v>
      </c>
      <c r="M17" s="76">
        <f>IF(H17&lt;&gt;0,H17,C17)</f>
        <v>-250</v>
      </c>
      <c r="N17" s="77">
        <f t="shared" si="2"/>
        <v>-250</v>
      </c>
      <c r="O17" s="77">
        <f t="shared" si="2"/>
        <v>-250</v>
      </c>
      <c r="P17" s="78">
        <f t="shared" si="2"/>
        <v>-250</v>
      </c>
    </row>
    <row r="19" spans="2:16" x14ac:dyDescent="0.25">
      <c r="B19" s="5" t="s">
        <v>99</v>
      </c>
      <c r="H19" s="5" t="s">
        <v>100</v>
      </c>
      <c r="K19" s="82"/>
      <c r="L19" s="83"/>
      <c r="M19" s="83"/>
      <c r="N19" s="83"/>
      <c r="O19" s="83"/>
      <c r="P19" s="84"/>
    </row>
    <row r="20" spans="2:16" x14ac:dyDescent="0.25">
      <c r="B20" s="13" t="s">
        <v>80</v>
      </c>
      <c r="C20" s="2" t="s">
        <v>131</v>
      </c>
      <c r="H20" s="13" t="s">
        <v>80</v>
      </c>
      <c r="J20" s="79"/>
      <c r="K20" s="85"/>
      <c r="L20" s="86"/>
      <c r="M20" s="86"/>
      <c r="N20" s="86"/>
      <c r="O20" s="86"/>
      <c r="P20" s="87"/>
    </row>
    <row r="21" spans="2:16" x14ac:dyDescent="0.25">
      <c r="B21" s="13" t="s">
        <v>81</v>
      </c>
      <c r="H21" s="13" t="s">
        <v>81</v>
      </c>
      <c r="J21" s="79"/>
      <c r="K21" s="85"/>
      <c r="L21" s="86"/>
      <c r="M21" s="86"/>
      <c r="N21" s="86"/>
      <c r="O21" s="86"/>
      <c r="P21" s="87"/>
    </row>
    <row r="22" spans="2:16" x14ac:dyDescent="0.25">
      <c r="B22" s="13" t="s">
        <v>129</v>
      </c>
      <c r="C22" s="2" t="s">
        <v>132</v>
      </c>
      <c r="H22" s="13" t="s">
        <v>84</v>
      </c>
      <c r="J22" s="79"/>
      <c r="K22" s="85"/>
      <c r="L22" s="86"/>
      <c r="M22" s="86"/>
      <c r="N22" s="86"/>
      <c r="O22" s="86"/>
      <c r="P22" s="87"/>
    </row>
    <row r="23" spans="2:16" x14ac:dyDescent="0.25">
      <c r="B23" s="13" t="s">
        <v>109</v>
      </c>
      <c r="H23" s="13" t="s">
        <v>109</v>
      </c>
      <c r="J23" s="79"/>
      <c r="K23" s="85"/>
      <c r="L23" s="86"/>
      <c r="M23" s="86"/>
      <c r="N23" s="86"/>
      <c r="O23" s="86"/>
      <c r="P23" s="87"/>
    </row>
    <row r="24" spans="2:16" x14ac:dyDescent="0.25">
      <c r="B24" s="13" t="s">
        <v>130</v>
      </c>
      <c r="C24" s="2" t="s">
        <v>135</v>
      </c>
      <c r="H24" s="13" t="s">
        <v>85</v>
      </c>
      <c r="J24" s="79"/>
      <c r="K24" s="85"/>
      <c r="L24" s="86"/>
      <c r="M24" s="86"/>
      <c r="N24" s="86"/>
      <c r="O24" s="86"/>
      <c r="P24" s="87"/>
    </row>
    <row r="25" spans="2:16" x14ac:dyDescent="0.25">
      <c r="B25" s="13" t="s">
        <v>86</v>
      </c>
      <c r="C25" s="2" t="s">
        <v>128</v>
      </c>
      <c r="H25" s="13" t="s">
        <v>86</v>
      </c>
      <c r="J25" s="79"/>
      <c r="K25" s="85"/>
      <c r="L25" s="86"/>
      <c r="M25" s="86"/>
      <c r="N25" s="86"/>
      <c r="O25" s="86"/>
      <c r="P25" s="87"/>
    </row>
    <row r="26" spans="2:16" x14ac:dyDescent="0.25">
      <c r="B26" s="13" t="s">
        <v>82</v>
      </c>
      <c r="C26" s="2" t="s">
        <v>98</v>
      </c>
      <c r="H26" s="13" t="s">
        <v>82</v>
      </c>
      <c r="J26" s="79"/>
      <c r="K26" s="88"/>
      <c r="L26" s="89"/>
      <c r="M26" s="89"/>
      <c r="N26" s="89"/>
      <c r="O26" s="89"/>
      <c r="P26" s="90"/>
    </row>
    <row r="27" spans="2:16" ht="11.5" customHeight="1" x14ac:dyDescent="0.25"/>
    <row r="28" spans="2:16" ht="11.5" customHeight="1" x14ac:dyDescent="0.25"/>
    <row r="29" spans="2:16" ht="14" x14ac:dyDescent="0.3">
      <c r="B29" s="30" t="s">
        <v>67</v>
      </c>
      <c r="C29" s="53" t="s">
        <v>101</v>
      </c>
      <c r="D29" s="53"/>
      <c r="E29" s="53"/>
      <c r="F29" s="53"/>
      <c r="H29" s="53" t="s">
        <v>102</v>
      </c>
      <c r="I29" s="53"/>
      <c r="J29" s="53"/>
      <c r="K29" s="53"/>
    </row>
    <row r="30" spans="2:16" ht="11.5" customHeight="1" x14ac:dyDescent="0.25">
      <c r="B30" s="54" t="s">
        <v>136</v>
      </c>
      <c r="C30" s="55" t="s">
        <v>87</v>
      </c>
      <c r="D30" s="56"/>
      <c r="E30" s="55" t="s">
        <v>88</v>
      </c>
      <c r="F30" s="56"/>
      <c r="H30" s="55" t="s">
        <v>87</v>
      </c>
      <c r="I30" s="56"/>
      <c r="J30" s="55" t="s">
        <v>88</v>
      </c>
      <c r="K30" s="56"/>
    </row>
    <row r="31" spans="2:16" x14ac:dyDescent="0.25">
      <c r="B31" s="57"/>
      <c r="C31" s="58" t="s">
        <v>89</v>
      </c>
      <c r="D31" s="59" t="s">
        <v>90</v>
      </c>
      <c r="E31" s="58" t="s">
        <v>89</v>
      </c>
      <c r="F31" s="59" t="s">
        <v>90</v>
      </c>
      <c r="H31" s="69" t="s">
        <v>89</v>
      </c>
      <c r="I31" s="70" t="s">
        <v>90</v>
      </c>
      <c r="J31" s="69" t="s">
        <v>89</v>
      </c>
      <c r="K31" s="70" t="s">
        <v>90</v>
      </c>
    </row>
    <row r="32" spans="2:16" x14ac:dyDescent="0.25">
      <c r="B32" s="54" t="s">
        <v>80</v>
      </c>
      <c r="C32" s="60">
        <v>0</v>
      </c>
      <c r="D32" s="61">
        <v>0</v>
      </c>
      <c r="E32" s="61">
        <v>0</v>
      </c>
      <c r="F32" s="62">
        <v>0</v>
      </c>
      <c r="H32" s="82"/>
      <c r="I32" s="83"/>
      <c r="J32" s="83"/>
      <c r="K32" s="84"/>
    </row>
    <row r="33" spans="2:16" x14ac:dyDescent="0.25">
      <c r="B33" s="63" t="s">
        <v>81</v>
      </c>
      <c r="C33" s="64">
        <v>0</v>
      </c>
      <c r="D33" s="13">
        <v>0</v>
      </c>
      <c r="E33" s="13">
        <v>0</v>
      </c>
      <c r="F33" s="65">
        <v>0</v>
      </c>
      <c r="H33" s="85"/>
      <c r="I33" s="86"/>
      <c r="J33" s="86"/>
      <c r="K33" s="87"/>
    </row>
    <row r="34" spans="2:16" x14ac:dyDescent="0.25">
      <c r="B34" s="63" t="s">
        <v>129</v>
      </c>
      <c r="C34" s="64">
        <v>0</v>
      </c>
      <c r="D34" s="13">
        <v>0</v>
      </c>
      <c r="E34" s="13">
        <v>0</v>
      </c>
      <c r="F34" s="65">
        <v>0</v>
      </c>
      <c r="H34" s="85"/>
      <c r="I34" s="86"/>
      <c r="J34" s="86"/>
      <c r="K34" s="87"/>
    </row>
    <row r="35" spans="2:16" x14ac:dyDescent="0.25">
      <c r="B35" s="63" t="s">
        <v>109</v>
      </c>
      <c r="C35" s="64">
        <v>0</v>
      </c>
      <c r="D35" s="13">
        <v>0</v>
      </c>
      <c r="E35" s="13">
        <v>0</v>
      </c>
      <c r="F35" s="65">
        <v>0</v>
      </c>
      <c r="H35" s="85"/>
      <c r="I35" s="86"/>
      <c r="J35" s="86"/>
      <c r="K35" s="87"/>
    </row>
    <row r="36" spans="2:16" x14ac:dyDescent="0.25">
      <c r="B36" s="63" t="s">
        <v>130</v>
      </c>
      <c r="C36" s="64">
        <v>0</v>
      </c>
      <c r="D36" s="13">
        <v>0</v>
      </c>
      <c r="E36" s="13">
        <v>0</v>
      </c>
      <c r="F36" s="65">
        <v>0</v>
      </c>
      <c r="H36" s="85"/>
      <c r="I36" s="86"/>
      <c r="J36" s="86"/>
      <c r="K36" s="87"/>
      <c r="M36" s="55" t="s">
        <v>87</v>
      </c>
      <c r="N36" s="56"/>
      <c r="O36" s="55" t="s">
        <v>88</v>
      </c>
      <c r="P36" s="56"/>
    </row>
    <row r="37" spans="2:16" x14ac:dyDescent="0.25">
      <c r="B37" s="57" t="s">
        <v>82</v>
      </c>
      <c r="C37" s="66">
        <v>-250</v>
      </c>
      <c r="D37" s="67">
        <v>-250</v>
      </c>
      <c r="E37" s="67">
        <v>-250</v>
      </c>
      <c r="F37" s="68">
        <v>-250</v>
      </c>
      <c r="H37" s="88"/>
      <c r="I37" s="89"/>
      <c r="J37" s="89"/>
      <c r="K37" s="90"/>
      <c r="M37" s="69" t="s">
        <v>89</v>
      </c>
      <c r="N37" s="70" t="s">
        <v>90</v>
      </c>
      <c r="O37" s="69" t="s">
        <v>89</v>
      </c>
      <c r="P37" s="70" t="s">
        <v>90</v>
      </c>
    </row>
    <row r="38" spans="2:16" x14ac:dyDescent="0.25">
      <c r="B38" s="71" t="s">
        <v>91</v>
      </c>
      <c r="C38" s="72">
        <f>C32+C33+C34+C35+C36</f>
        <v>0</v>
      </c>
      <c r="D38" s="73">
        <f t="shared" ref="D38:F38" si="5">D32+D33+D34+D35+D36</f>
        <v>0</v>
      </c>
      <c r="E38" s="73">
        <f t="shared" si="5"/>
        <v>0</v>
      </c>
      <c r="F38" s="74">
        <f t="shared" si="5"/>
        <v>0</v>
      </c>
      <c r="H38" s="80">
        <f>H32+H33+H34+H35+H36</f>
        <v>0</v>
      </c>
      <c r="I38" s="12">
        <f t="shared" ref="I38:K38" si="6">I32+I33+I34+I35+I36</f>
        <v>0</v>
      </c>
      <c r="J38" s="12">
        <f t="shared" si="6"/>
        <v>0</v>
      </c>
      <c r="K38" s="100">
        <f t="shared" si="6"/>
        <v>0</v>
      </c>
      <c r="M38" s="72">
        <f>IF(H38&lt;&gt;0,H38,C38)</f>
        <v>0</v>
      </c>
      <c r="N38" s="73">
        <f t="shared" ref="N38:N39" si="7">IF(I38&lt;&gt;0,I38,D38)</f>
        <v>0</v>
      </c>
      <c r="O38" s="73">
        <f t="shared" ref="O38:O39" si="8">IF(J38&lt;&gt;0,J38,E38)</f>
        <v>0</v>
      </c>
      <c r="P38" s="74">
        <f t="shared" ref="P38:P39" si="9">IF(K38&lt;&gt;0,K38,F38)</f>
        <v>0</v>
      </c>
    </row>
    <row r="39" spans="2:16" x14ac:dyDescent="0.25">
      <c r="B39" s="75" t="s">
        <v>92</v>
      </c>
      <c r="C39" s="76">
        <f>C32+C33+C34+C35+C36+C37</f>
        <v>-250</v>
      </c>
      <c r="D39" s="77">
        <f t="shared" ref="D39:F39" si="10">D32+D33+D34+D35+D36+D37</f>
        <v>-250</v>
      </c>
      <c r="E39" s="77">
        <f t="shared" si="10"/>
        <v>-250</v>
      </c>
      <c r="F39" s="78">
        <f t="shared" si="10"/>
        <v>-250</v>
      </c>
      <c r="H39" s="76">
        <f>H32+H33+H34+H35+H36+H37</f>
        <v>0</v>
      </c>
      <c r="I39" s="77">
        <f t="shared" ref="I39:K39" si="11">I32+I33+I34+I35+I36+I37</f>
        <v>0</v>
      </c>
      <c r="J39" s="77">
        <f t="shared" si="11"/>
        <v>0</v>
      </c>
      <c r="K39" s="78">
        <f t="shared" si="11"/>
        <v>0</v>
      </c>
      <c r="M39" s="76">
        <f>IF(H39&lt;&gt;0,H39,C39)</f>
        <v>-250</v>
      </c>
      <c r="N39" s="77">
        <f t="shared" si="7"/>
        <v>-250</v>
      </c>
      <c r="O39" s="77">
        <f t="shared" si="8"/>
        <v>-250</v>
      </c>
      <c r="P39" s="78">
        <f t="shared" si="9"/>
        <v>-250</v>
      </c>
    </row>
    <row r="41" spans="2:16" x14ac:dyDescent="0.25">
      <c r="B41" s="5" t="s">
        <v>99</v>
      </c>
      <c r="H41" s="5" t="s">
        <v>100</v>
      </c>
      <c r="K41" s="82"/>
      <c r="L41" s="83"/>
      <c r="M41" s="83"/>
      <c r="N41" s="83"/>
      <c r="O41" s="83"/>
      <c r="P41" s="84"/>
    </row>
    <row r="42" spans="2:16" x14ac:dyDescent="0.25">
      <c r="B42" s="13" t="s">
        <v>80</v>
      </c>
      <c r="C42" s="2" t="s">
        <v>131</v>
      </c>
      <c r="H42" s="13" t="s">
        <v>80</v>
      </c>
      <c r="J42" s="79"/>
      <c r="K42" s="85"/>
      <c r="L42" s="86"/>
      <c r="M42" s="86"/>
      <c r="N42" s="86"/>
      <c r="O42" s="86"/>
      <c r="P42" s="87"/>
    </row>
    <row r="43" spans="2:16" x14ac:dyDescent="0.25">
      <c r="B43" s="13" t="s">
        <v>81</v>
      </c>
      <c r="H43" s="13" t="s">
        <v>81</v>
      </c>
      <c r="J43" s="79"/>
      <c r="K43" s="85"/>
      <c r="L43" s="86"/>
      <c r="M43" s="86"/>
      <c r="N43" s="86"/>
      <c r="O43" s="86"/>
      <c r="P43" s="87"/>
    </row>
    <row r="44" spans="2:16" x14ac:dyDescent="0.25">
      <c r="B44" s="13" t="s">
        <v>129</v>
      </c>
      <c r="C44" s="2" t="s">
        <v>132</v>
      </c>
      <c r="H44" s="13" t="s">
        <v>84</v>
      </c>
      <c r="J44" s="79"/>
      <c r="K44" s="85"/>
      <c r="L44" s="86"/>
      <c r="M44" s="86"/>
      <c r="N44" s="86"/>
      <c r="O44" s="86"/>
      <c r="P44" s="87"/>
    </row>
    <row r="45" spans="2:16" x14ac:dyDescent="0.25">
      <c r="B45" s="13" t="s">
        <v>109</v>
      </c>
      <c r="H45" s="13" t="s">
        <v>109</v>
      </c>
      <c r="J45" s="79"/>
      <c r="K45" s="85"/>
      <c r="L45" s="86"/>
      <c r="M45" s="86"/>
      <c r="N45" s="86"/>
      <c r="O45" s="86"/>
      <c r="P45" s="87"/>
    </row>
    <row r="46" spans="2:16" x14ac:dyDescent="0.25">
      <c r="B46" s="13" t="s">
        <v>130</v>
      </c>
      <c r="C46" s="2" t="s">
        <v>135</v>
      </c>
      <c r="H46" s="13" t="s">
        <v>85</v>
      </c>
      <c r="J46" s="79"/>
      <c r="K46" s="85"/>
      <c r="L46" s="86"/>
      <c r="M46" s="86"/>
      <c r="N46" s="86"/>
      <c r="O46" s="86"/>
      <c r="P46" s="87"/>
    </row>
    <row r="47" spans="2:16" x14ac:dyDescent="0.25">
      <c r="B47" s="13" t="s">
        <v>86</v>
      </c>
      <c r="C47" s="2" t="s">
        <v>128</v>
      </c>
      <c r="H47" s="13" t="s">
        <v>86</v>
      </c>
      <c r="J47" s="79"/>
      <c r="K47" s="85"/>
      <c r="L47" s="86"/>
      <c r="M47" s="86"/>
      <c r="N47" s="86"/>
      <c r="O47" s="86"/>
      <c r="P47" s="87"/>
    </row>
    <row r="48" spans="2:16" x14ac:dyDescent="0.25">
      <c r="B48" s="13" t="s">
        <v>82</v>
      </c>
      <c r="C48" s="2" t="s">
        <v>98</v>
      </c>
      <c r="H48" s="13" t="s">
        <v>82</v>
      </c>
      <c r="J48" s="79"/>
      <c r="K48" s="88"/>
      <c r="L48" s="89"/>
      <c r="M48" s="89"/>
      <c r="N48" s="89"/>
      <c r="O48" s="89"/>
      <c r="P48" s="90"/>
    </row>
    <row r="49" ht="11.5" customHeight="1" x14ac:dyDescent="0.25"/>
    <row r="50" ht="11.5" customHeight="1" x14ac:dyDescent="0.25"/>
    <row r="51" ht="11.5" customHeight="1" x14ac:dyDescent="0.25"/>
    <row r="52" ht="11.5" customHeight="1" x14ac:dyDescent="0.25"/>
    <row r="53" ht="11.5" customHeight="1" x14ac:dyDescent="0.25"/>
    <row r="54" ht="11.5" customHeight="1" x14ac:dyDescent="0.25"/>
    <row r="55" ht="11.5" customHeight="1" x14ac:dyDescent="0.25"/>
    <row r="56" ht="11.5" customHeight="1" x14ac:dyDescent="0.25"/>
    <row r="57" ht="11.5" customHeight="1" x14ac:dyDescent="0.25"/>
    <row r="58" ht="11.5" customHeight="1" x14ac:dyDescent="0.25"/>
    <row r="59" ht="11.5" customHeight="1" x14ac:dyDescent="0.25"/>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00B68-A674-4248-A3B9-F64EC77DCCF6}">
  <dimension ref="B1:AB29"/>
  <sheetViews>
    <sheetView zoomScaleNormal="100" workbookViewId="0">
      <pane ySplit="2" topLeftCell="A3" activePane="bottomLeft" state="frozen"/>
      <selection pane="bottomLeft" activeCell="L10" sqref="L10"/>
    </sheetView>
  </sheetViews>
  <sheetFormatPr defaultRowHeight="11.5" x14ac:dyDescent="0.25"/>
  <cols>
    <col min="1" max="1" width="1.69921875" style="2" customWidth="1"/>
    <col min="2" max="2" width="28.69921875" style="2" customWidth="1"/>
    <col min="3" max="10" width="8.796875" style="2"/>
    <col min="11" max="11" width="4.59765625" style="2" customWidth="1"/>
    <col min="12" max="19" width="8.796875" style="2"/>
    <col min="20" max="20" width="4.3984375" style="2" customWidth="1"/>
    <col min="21" max="16384" width="8.796875" style="2"/>
  </cols>
  <sheetData>
    <row r="1" spans="2:28" ht="18" x14ac:dyDescent="0.4">
      <c r="B1" s="1" t="s">
        <v>137</v>
      </c>
    </row>
    <row r="2" spans="2:28" ht="11.5" customHeight="1" x14ac:dyDescent="0.25">
      <c r="B2" s="51"/>
    </row>
    <row r="3" spans="2:28" ht="11.5" customHeight="1" x14ac:dyDescent="0.25">
      <c r="B3" s="51" t="s">
        <v>103</v>
      </c>
    </row>
    <row r="4" spans="2:28" ht="11.5" customHeight="1" x14ac:dyDescent="0.25">
      <c r="B4" s="51" t="s">
        <v>104</v>
      </c>
    </row>
    <row r="5" spans="2:28" ht="11.5" customHeight="1" x14ac:dyDescent="0.25">
      <c r="B5" s="51"/>
    </row>
    <row r="6" spans="2:28" x14ac:dyDescent="0.25">
      <c r="B6" s="51"/>
    </row>
    <row r="7" spans="2:28" ht="14" x14ac:dyDescent="0.3">
      <c r="B7" s="30" t="s">
        <v>66</v>
      </c>
      <c r="C7" s="53" t="s">
        <v>150</v>
      </c>
      <c r="D7" s="53"/>
      <c r="E7" s="53"/>
      <c r="F7" s="53"/>
      <c r="G7" s="53"/>
      <c r="H7" s="53"/>
      <c r="I7" s="53"/>
      <c r="J7" s="53"/>
      <c r="L7" s="53" t="s">
        <v>151</v>
      </c>
      <c r="M7" s="53"/>
      <c r="N7" s="53"/>
      <c r="O7" s="53"/>
      <c r="P7" s="53"/>
      <c r="Q7" s="53"/>
      <c r="R7" s="53"/>
      <c r="S7" s="53"/>
    </row>
    <row r="8" spans="2:28" ht="11.5" customHeight="1" x14ac:dyDescent="0.25">
      <c r="B8" s="54"/>
      <c r="C8" s="55" t="s">
        <v>113</v>
      </c>
      <c r="D8" s="56"/>
      <c r="E8" s="55" t="s">
        <v>140</v>
      </c>
      <c r="F8" s="56"/>
      <c r="G8" s="55" t="s">
        <v>114</v>
      </c>
      <c r="H8" s="56"/>
      <c r="I8" s="55" t="s">
        <v>115</v>
      </c>
      <c r="J8" s="56"/>
      <c r="K8" s="102"/>
      <c r="L8" s="55" t="s">
        <v>113</v>
      </c>
      <c r="M8" s="56"/>
      <c r="N8" s="55" t="s">
        <v>140</v>
      </c>
      <c r="O8" s="56"/>
      <c r="P8" s="55" t="s">
        <v>114</v>
      </c>
      <c r="Q8" s="56"/>
      <c r="R8" s="55" t="s">
        <v>115</v>
      </c>
      <c r="S8" s="56"/>
    </row>
    <row r="9" spans="2:28" x14ac:dyDescent="0.25">
      <c r="B9" s="57"/>
      <c r="C9" s="58" t="s">
        <v>89</v>
      </c>
      <c r="D9" s="59" t="s">
        <v>90</v>
      </c>
      <c r="E9" s="58" t="s">
        <v>89</v>
      </c>
      <c r="F9" s="59" t="s">
        <v>90</v>
      </c>
      <c r="G9" s="58" t="s">
        <v>89</v>
      </c>
      <c r="H9" s="59" t="s">
        <v>90</v>
      </c>
      <c r="I9" s="58" t="s">
        <v>89</v>
      </c>
      <c r="J9" s="59" t="s">
        <v>90</v>
      </c>
      <c r="L9" s="58" t="s">
        <v>89</v>
      </c>
      <c r="M9" s="59" t="s">
        <v>90</v>
      </c>
      <c r="N9" s="58" t="s">
        <v>89</v>
      </c>
      <c r="O9" s="59" t="s">
        <v>90</v>
      </c>
      <c r="P9" s="58" t="s">
        <v>89</v>
      </c>
      <c r="Q9" s="59" t="s">
        <v>90</v>
      </c>
      <c r="R9" s="58" t="s">
        <v>89</v>
      </c>
      <c r="S9" s="59" t="s">
        <v>90</v>
      </c>
    </row>
    <row r="10" spans="2:28" x14ac:dyDescent="0.25">
      <c r="B10" s="64" t="s">
        <v>141</v>
      </c>
      <c r="C10" s="109">
        <v>3381</v>
      </c>
      <c r="D10" s="110">
        <v>3381</v>
      </c>
      <c r="E10" s="110">
        <v>4683</v>
      </c>
      <c r="F10" s="110">
        <v>4683</v>
      </c>
      <c r="G10" s="110">
        <v>6728</v>
      </c>
      <c r="H10" s="110">
        <v>6728</v>
      </c>
      <c r="I10" s="110">
        <v>7142</v>
      </c>
      <c r="J10" s="111">
        <v>7142</v>
      </c>
      <c r="L10" s="103"/>
      <c r="M10" s="104"/>
      <c r="N10" s="104"/>
      <c r="O10" s="104"/>
      <c r="P10" s="104"/>
      <c r="Q10" s="104"/>
      <c r="R10" s="104"/>
      <c r="S10" s="105"/>
    </row>
    <row r="11" spans="2:28" x14ac:dyDescent="0.25">
      <c r="B11" s="64" t="s">
        <v>139</v>
      </c>
      <c r="C11" s="109">
        <v>250</v>
      </c>
      <c r="D11" s="110">
        <v>250</v>
      </c>
      <c r="E11" s="110">
        <v>250</v>
      </c>
      <c r="F11" s="110">
        <v>250</v>
      </c>
      <c r="G11" s="110">
        <v>250</v>
      </c>
      <c r="H11" s="110">
        <v>250</v>
      </c>
      <c r="I11" s="110">
        <v>250</v>
      </c>
      <c r="J11" s="111">
        <v>250</v>
      </c>
      <c r="L11" s="103"/>
      <c r="M11" s="104"/>
      <c r="N11" s="104"/>
      <c r="O11" s="104"/>
      <c r="P11" s="104"/>
      <c r="Q11" s="104"/>
      <c r="R11" s="104"/>
      <c r="S11" s="105"/>
    </row>
    <row r="12" spans="2:28" x14ac:dyDescent="0.25">
      <c r="B12" s="64" t="s">
        <v>142</v>
      </c>
      <c r="C12" s="109">
        <v>200</v>
      </c>
      <c r="D12" s="110">
        <v>200</v>
      </c>
      <c r="E12" s="110">
        <v>200</v>
      </c>
      <c r="F12" s="110">
        <v>200</v>
      </c>
      <c r="G12" s="110">
        <v>200</v>
      </c>
      <c r="H12" s="110">
        <v>200</v>
      </c>
      <c r="I12" s="110">
        <v>200</v>
      </c>
      <c r="J12" s="111">
        <v>200</v>
      </c>
      <c r="L12" s="103"/>
      <c r="M12" s="104"/>
      <c r="N12" s="104"/>
      <c r="O12" s="104"/>
      <c r="P12" s="104"/>
      <c r="Q12" s="104"/>
      <c r="R12" s="104"/>
      <c r="S12" s="105"/>
    </row>
    <row r="13" spans="2:28" x14ac:dyDescent="0.25">
      <c r="B13" s="64" t="s">
        <v>143</v>
      </c>
      <c r="C13" s="109">
        <v>0</v>
      </c>
      <c r="D13" s="110">
        <v>510</v>
      </c>
      <c r="E13" s="110">
        <v>0</v>
      </c>
      <c r="F13" s="110">
        <v>610</v>
      </c>
      <c r="G13" s="110">
        <v>0</v>
      </c>
      <c r="H13" s="110">
        <v>770</v>
      </c>
      <c r="I13" s="110">
        <v>0</v>
      </c>
      <c r="J13" s="111">
        <v>810</v>
      </c>
      <c r="L13" s="103"/>
      <c r="M13" s="104"/>
      <c r="N13" s="104"/>
      <c r="O13" s="104"/>
      <c r="P13" s="104"/>
      <c r="Q13" s="104"/>
      <c r="R13" s="104"/>
      <c r="S13" s="105"/>
    </row>
    <row r="14" spans="2:28" x14ac:dyDescent="0.25">
      <c r="B14" s="64" t="s">
        <v>144</v>
      </c>
      <c r="C14" s="109">
        <v>0</v>
      </c>
      <c r="D14" s="110">
        <v>300</v>
      </c>
      <c r="E14" s="110">
        <v>0</v>
      </c>
      <c r="F14" s="110">
        <v>300</v>
      </c>
      <c r="G14" s="110">
        <v>0</v>
      </c>
      <c r="H14" s="110">
        <v>300</v>
      </c>
      <c r="I14" s="110">
        <v>0</v>
      </c>
      <c r="J14" s="111">
        <v>300</v>
      </c>
      <c r="L14" s="103"/>
      <c r="M14" s="104"/>
      <c r="N14" s="104"/>
      <c r="O14" s="104"/>
      <c r="P14" s="104"/>
      <c r="Q14" s="104"/>
      <c r="R14" s="104"/>
      <c r="S14" s="105"/>
    </row>
    <row r="15" spans="2:28" x14ac:dyDescent="0.25">
      <c r="B15" s="64"/>
      <c r="C15" s="109"/>
      <c r="D15" s="110"/>
      <c r="E15" s="110"/>
      <c r="F15" s="110"/>
      <c r="G15" s="110"/>
      <c r="H15" s="110"/>
      <c r="I15" s="110"/>
      <c r="J15" s="111"/>
      <c r="L15" s="103"/>
      <c r="M15" s="104"/>
      <c r="N15" s="104"/>
      <c r="O15" s="104"/>
      <c r="P15" s="104"/>
      <c r="Q15" s="104"/>
      <c r="R15" s="104"/>
      <c r="S15" s="105"/>
      <c r="U15" s="55" t="s">
        <v>113</v>
      </c>
      <c r="V15" s="56"/>
      <c r="W15" s="101" t="s">
        <v>140</v>
      </c>
      <c r="X15" s="101"/>
      <c r="Y15" s="55" t="s">
        <v>114</v>
      </c>
      <c r="Z15" s="56"/>
      <c r="AA15" s="55" t="s">
        <v>115</v>
      </c>
      <c r="AB15" s="56"/>
    </row>
    <row r="16" spans="2:28" x14ac:dyDescent="0.25">
      <c r="B16" s="66" t="s">
        <v>82</v>
      </c>
      <c r="C16" s="109">
        <v>-2000</v>
      </c>
      <c r="D16" s="110">
        <v>-2000</v>
      </c>
      <c r="E16" s="110">
        <v>-2000</v>
      </c>
      <c r="F16" s="110">
        <v>-2000</v>
      </c>
      <c r="G16" s="110">
        <v>-2000</v>
      </c>
      <c r="H16" s="110">
        <v>-2000</v>
      </c>
      <c r="I16" s="110">
        <v>-2000</v>
      </c>
      <c r="J16" s="111">
        <v>-2000</v>
      </c>
      <c r="L16" s="106"/>
      <c r="M16" s="107"/>
      <c r="N16" s="107"/>
      <c r="O16" s="107"/>
      <c r="P16" s="107"/>
      <c r="Q16" s="107"/>
      <c r="R16" s="107"/>
      <c r="S16" s="108"/>
      <c r="U16" s="69" t="s">
        <v>89</v>
      </c>
      <c r="V16" s="70" t="s">
        <v>90</v>
      </c>
      <c r="W16" s="69" t="s">
        <v>89</v>
      </c>
      <c r="X16" s="70" t="s">
        <v>90</v>
      </c>
      <c r="Y16" s="69" t="s">
        <v>89</v>
      </c>
      <c r="Z16" s="70" t="s">
        <v>90</v>
      </c>
      <c r="AA16" s="69" t="s">
        <v>89</v>
      </c>
      <c r="AB16" s="70" t="s">
        <v>90</v>
      </c>
    </row>
    <row r="17" spans="2:28" x14ac:dyDescent="0.25">
      <c r="B17" s="80" t="s">
        <v>91</v>
      </c>
      <c r="C17" s="112">
        <f>C10+C11+C12+C13+C14+C15</f>
        <v>3831</v>
      </c>
      <c r="D17" s="113">
        <f>D10+D11+D12+D13+D14+D15</f>
        <v>4641</v>
      </c>
      <c r="E17" s="113">
        <f t="shared" ref="E17:I17" si="0">E10+E11+E12+E13+E14+E15</f>
        <v>5133</v>
      </c>
      <c r="F17" s="113">
        <f t="shared" si="0"/>
        <v>6043</v>
      </c>
      <c r="G17" s="113">
        <f t="shared" si="0"/>
        <v>7178</v>
      </c>
      <c r="H17" s="113">
        <f t="shared" si="0"/>
        <v>8248</v>
      </c>
      <c r="I17" s="113">
        <f t="shared" si="0"/>
        <v>7592</v>
      </c>
      <c r="J17" s="114">
        <f>J10+J11+J12+J13+J14+J15</f>
        <v>8702</v>
      </c>
      <c r="L17" s="80">
        <f>L10+L11+L12+L13+L14+L15</f>
        <v>0</v>
      </c>
      <c r="M17" s="12">
        <f>M10+M11+M12+M13+M14+M15</f>
        <v>0</v>
      </c>
      <c r="N17" s="12">
        <f t="shared" ref="N17:R17" si="1">N10+N11+N12+N13+N14+N15</f>
        <v>0</v>
      </c>
      <c r="O17" s="12">
        <f t="shared" si="1"/>
        <v>0</v>
      </c>
      <c r="P17" s="12">
        <f t="shared" si="1"/>
        <v>0</v>
      </c>
      <c r="Q17" s="12">
        <f t="shared" si="1"/>
        <v>0</v>
      </c>
      <c r="R17" s="12">
        <f t="shared" si="1"/>
        <v>0</v>
      </c>
      <c r="S17" s="100">
        <f>S10+S11+S12+S13+S14+S15</f>
        <v>0</v>
      </c>
      <c r="U17" s="112">
        <f>IF(L17&lt;&gt;0,L17,C17)</f>
        <v>3831</v>
      </c>
      <c r="V17" s="113">
        <f>IF(M17&lt;&gt;0,M17,D17)</f>
        <v>4641</v>
      </c>
      <c r="W17" s="113">
        <f t="shared" ref="W17:AA18" si="2">IF(N17&lt;&gt;0,N17,E17)</f>
        <v>5133</v>
      </c>
      <c r="X17" s="113">
        <f t="shared" si="2"/>
        <v>6043</v>
      </c>
      <c r="Y17" s="113">
        <f t="shared" si="2"/>
        <v>7178</v>
      </c>
      <c r="Z17" s="113">
        <f t="shared" si="2"/>
        <v>8248</v>
      </c>
      <c r="AA17" s="113">
        <f t="shared" si="2"/>
        <v>7592</v>
      </c>
      <c r="AB17" s="114">
        <f>IF(S17&lt;&gt;0,S17,J17)</f>
        <v>8702</v>
      </c>
    </row>
    <row r="18" spans="2:28" x14ac:dyDescent="0.25">
      <c r="B18" s="76" t="s">
        <v>92</v>
      </c>
      <c r="C18" s="115">
        <f>C10+C11+C12+C13+C14+C15+C16</f>
        <v>1831</v>
      </c>
      <c r="D18" s="116">
        <f>D10+D11+D12+D13+D14+D15+D16</f>
        <v>2641</v>
      </c>
      <c r="E18" s="116">
        <f t="shared" ref="E18:I18" si="3">E10+E11+E12+E13+E14+E15+E16</f>
        <v>3133</v>
      </c>
      <c r="F18" s="116">
        <f t="shared" si="3"/>
        <v>4043</v>
      </c>
      <c r="G18" s="116">
        <f t="shared" si="3"/>
        <v>5178</v>
      </c>
      <c r="H18" s="116">
        <f t="shared" si="3"/>
        <v>6248</v>
      </c>
      <c r="I18" s="116">
        <f t="shared" si="3"/>
        <v>5592</v>
      </c>
      <c r="J18" s="117">
        <f>J10+J11+J12+J13+J14+J15+J16</f>
        <v>6702</v>
      </c>
      <c r="L18" s="76">
        <f>L10+L11+L12+L13+L14+L15+L16</f>
        <v>0</v>
      </c>
      <c r="M18" s="77">
        <f>M10+M11+M12+M13+M14+M15+M16</f>
        <v>0</v>
      </c>
      <c r="N18" s="77">
        <f t="shared" ref="N18:R18" si="4">N10+N11+N12+N13+N14+N15+N16</f>
        <v>0</v>
      </c>
      <c r="O18" s="77">
        <f t="shared" si="4"/>
        <v>0</v>
      </c>
      <c r="P18" s="77">
        <f t="shared" si="4"/>
        <v>0</v>
      </c>
      <c r="Q18" s="77">
        <f t="shared" si="4"/>
        <v>0</v>
      </c>
      <c r="R18" s="77">
        <f t="shared" si="4"/>
        <v>0</v>
      </c>
      <c r="S18" s="78">
        <f>S10+S11+S12+S13+S14+S15+S16</f>
        <v>0</v>
      </c>
      <c r="U18" s="115">
        <f>IF(L18&lt;&gt;0,L18,C18)</f>
        <v>1831</v>
      </c>
      <c r="V18" s="116">
        <f>IF(M18&lt;&gt;0,M18,D18)</f>
        <v>2641</v>
      </c>
      <c r="W18" s="116">
        <f t="shared" si="2"/>
        <v>3133</v>
      </c>
      <c r="X18" s="116">
        <f t="shared" si="2"/>
        <v>4043</v>
      </c>
      <c r="Y18" s="116">
        <f t="shared" si="2"/>
        <v>5178</v>
      </c>
      <c r="Z18" s="116">
        <f t="shared" si="2"/>
        <v>6248</v>
      </c>
      <c r="AA18" s="116">
        <f t="shared" si="2"/>
        <v>5592</v>
      </c>
      <c r="AB18" s="117">
        <f>IF(S18&lt;&gt;0,S18,J18)</f>
        <v>6702</v>
      </c>
    </row>
    <row r="20" spans="2:28" x14ac:dyDescent="0.25">
      <c r="B20" s="12" t="s">
        <v>99</v>
      </c>
      <c r="L20" s="5" t="s">
        <v>100</v>
      </c>
      <c r="O20" s="82"/>
      <c r="P20" s="83"/>
      <c r="Q20" s="83"/>
      <c r="R20" s="83"/>
      <c r="S20" s="84"/>
    </row>
    <row r="21" spans="2:28" x14ac:dyDescent="0.25">
      <c r="B21" s="13" t="s">
        <v>141</v>
      </c>
      <c r="C21" s="2" t="s">
        <v>145</v>
      </c>
      <c r="L21" s="13" t="s">
        <v>138</v>
      </c>
      <c r="O21" s="85"/>
      <c r="P21" s="86"/>
      <c r="Q21" s="86"/>
      <c r="R21" s="86"/>
      <c r="S21" s="87"/>
      <c r="T21" s="79"/>
      <c r="U21" s="79"/>
      <c r="V21" s="79"/>
      <c r="W21" s="79"/>
      <c r="X21" s="79"/>
      <c r="Y21" s="79"/>
      <c r="Z21" s="79"/>
      <c r="AA21" s="79"/>
      <c r="AB21" s="79"/>
    </row>
    <row r="22" spans="2:28" x14ac:dyDescent="0.25">
      <c r="B22" s="13" t="s">
        <v>139</v>
      </c>
      <c r="C22" s="2" t="s">
        <v>146</v>
      </c>
      <c r="L22" s="13" t="s">
        <v>141</v>
      </c>
      <c r="O22" s="85"/>
      <c r="P22" s="86"/>
      <c r="Q22" s="86"/>
      <c r="R22" s="86"/>
      <c r="S22" s="87"/>
      <c r="T22" s="79"/>
      <c r="U22" s="79"/>
      <c r="V22" s="79"/>
      <c r="W22" s="79"/>
      <c r="X22" s="79"/>
      <c r="Y22" s="79"/>
      <c r="Z22" s="79"/>
      <c r="AA22" s="79"/>
      <c r="AB22" s="79"/>
    </row>
    <row r="23" spans="2:28" x14ac:dyDescent="0.25">
      <c r="B23" s="13" t="s">
        <v>142</v>
      </c>
      <c r="C23" s="2" t="s">
        <v>147</v>
      </c>
      <c r="L23" s="13" t="s">
        <v>139</v>
      </c>
      <c r="O23" s="85"/>
      <c r="P23" s="86"/>
      <c r="Q23" s="86"/>
      <c r="R23" s="86"/>
      <c r="S23" s="87"/>
      <c r="T23" s="79"/>
      <c r="U23" s="79"/>
      <c r="V23" s="79"/>
      <c r="W23" s="79"/>
      <c r="X23" s="79"/>
      <c r="Y23" s="79"/>
      <c r="Z23" s="79"/>
      <c r="AA23" s="79"/>
      <c r="AB23" s="79"/>
    </row>
    <row r="24" spans="2:28" x14ac:dyDescent="0.25">
      <c r="B24" s="13" t="s">
        <v>143</v>
      </c>
      <c r="C24" s="2" t="s">
        <v>305</v>
      </c>
      <c r="L24" s="13" t="s">
        <v>142</v>
      </c>
      <c r="O24" s="85"/>
      <c r="P24" s="86"/>
      <c r="Q24" s="86"/>
      <c r="R24" s="86"/>
      <c r="S24" s="87"/>
      <c r="T24" s="79"/>
      <c r="U24" s="79"/>
      <c r="V24" s="79"/>
      <c r="W24" s="79"/>
      <c r="X24" s="79"/>
      <c r="Y24" s="79"/>
      <c r="Z24" s="79"/>
      <c r="AA24" s="79"/>
      <c r="AB24" s="79"/>
    </row>
    <row r="25" spans="2:28" x14ac:dyDescent="0.25">
      <c r="B25" s="13" t="s">
        <v>154</v>
      </c>
      <c r="C25" s="2" t="s">
        <v>304</v>
      </c>
      <c r="L25" s="13" t="s">
        <v>143</v>
      </c>
      <c r="O25" s="85"/>
      <c r="P25" s="86"/>
      <c r="Q25" s="86"/>
      <c r="R25" s="86"/>
      <c r="S25" s="87"/>
      <c r="T25" s="79"/>
      <c r="U25" s="79"/>
      <c r="V25" s="79"/>
      <c r="W25" s="79"/>
      <c r="X25" s="79"/>
      <c r="Y25" s="79"/>
      <c r="Z25" s="79"/>
      <c r="AA25" s="79"/>
      <c r="AB25" s="79"/>
    </row>
    <row r="26" spans="2:28" x14ac:dyDescent="0.25">
      <c r="B26" s="13" t="s">
        <v>82</v>
      </c>
      <c r="C26" s="2" t="s">
        <v>98</v>
      </c>
      <c r="L26" s="13" t="s">
        <v>154</v>
      </c>
      <c r="O26" s="88"/>
      <c r="P26" s="89"/>
      <c r="Q26" s="89"/>
      <c r="R26" s="89"/>
      <c r="S26" s="90"/>
      <c r="T26" s="79"/>
      <c r="U26" s="79"/>
      <c r="V26" s="79"/>
      <c r="W26" s="79"/>
      <c r="X26" s="79"/>
      <c r="Y26" s="79"/>
      <c r="Z26" s="79"/>
      <c r="AA26" s="79"/>
      <c r="AB26" s="79"/>
    </row>
    <row r="27" spans="2:28" x14ac:dyDescent="0.25">
      <c r="L27" s="13"/>
    </row>
    <row r="29" spans="2:28" x14ac:dyDescent="0.25">
      <c r="B29" s="13"/>
    </row>
  </sheetData>
  <sheetProtection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248A-E18A-43C5-BD38-48D3AFA9BAAE}">
  <dimension ref="B1:AB28"/>
  <sheetViews>
    <sheetView zoomScaleNormal="100" workbookViewId="0">
      <pane ySplit="2" topLeftCell="A3" activePane="bottomLeft" state="frozen"/>
      <selection pane="bottomLeft" activeCell="L12" sqref="L12"/>
    </sheetView>
  </sheetViews>
  <sheetFormatPr defaultRowHeight="11.5" x14ac:dyDescent="0.25"/>
  <cols>
    <col min="1" max="1" width="1.69921875" style="2" customWidth="1"/>
    <col min="2" max="2" width="28.69921875" style="2" customWidth="1"/>
    <col min="3" max="10" width="8.796875" style="2"/>
    <col min="11" max="11" width="6.59765625" style="2" customWidth="1"/>
    <col min="12" max="16384" width="8.796875" style="2"/>
  </cols>
  <sheetData>
    <row r="1" spans="2:19" ht="18" x14ac:dyDescent="0.4">
      <c r="B1" s="1" t="s">
        <v>152</v>
      </c>
    </row>
    <row r="2" spans="2:19" ht="11.5" customHeight="1" x14ac:dyDescent="0.25">
      <c r="B2" s="51"/>
    </row>
    <row r="3" spans="2:19" ht="11.5" customHeight="1" x14ac:dyDescent="0.25">
      <c r="B3" s="51" t="s">
        <v>103</v>
      </c>
    </row>
    <row r="4" spans="2:19" ht="11.5" customHeight="1" x14ac:dyDescent="0.25">
      <c r="B4" s="51" t="s">
        <v>104</v>
      </c>
    </row>
    <row r="5" spans="2:19" ht="11.5" customHeight="1" x14ac:dyDescent="0.25">
      <c r="B5" s="51"/>
    </row>
    <row r="6" spans="2:19" ht="11.5" customHeight="1" x14ac:dyDescent="0.25">
      <c r="B6" s="51" t="s">
        <v>153</v>
      </c>
    </row>
    <row r="7" spans="2:19" ht="11.5" customHeight="1" x14ac:dyDescent="0.25">
      <c r="B7" s="51"/>
    </row>
    <row r="8" spans="2:19" x14ac:dyDescent="0.25">
      <c r="B8" s="51"/>
    </row>
    <row r="9" spans="2:19" ht="14" x14ac:dyDescent="0.3">
      <c r="B9" s="30" t="s">
        <v>152</v>
      </c>
      <c r="C9" s="53" t="s">
        <v>150</v>
      </c>
      <c r="D9" s="53"/>
      <c r="E9" s="53"/>
      <c r="F9" s="53"/>
      <c r="G9" s="53"/>
      <c r="H9" s="53"/>
      <c r="I9" s="53"/>
      <c r="J9" s="53"/>
      <c r="L9" s="53" t="s">
        <v>151</v>
      </c>
      <c r="M9" s="53"/>
      <c r="N9" s="53"/>
      <c r="O9" s="53"/>
      <c r="P9" s="53"/>
      <c r="Q9" s="53"/>
      <c r="R9" s="53"/>
      <c r="S9" s="53"/>
    </row>
    <row r="10" spans="2:19" ht="11.5" customHeight="1" x14ac:dyDescent="0.25">
      <c r="B10" s="54"/>
      <c r="C10" s="55" t="s">
        <v>113</v>
      </c>
      <c r="D10" s="56"/>
      <c r="E10" s="55" t="s">
        <v>140</v>
      </c>
      <c r="F10" s="56"/>
      <c r="G10" s="55" t="s">
        <v>114</v>
      </c>
      <c r="H10" s="56"/>
      <c r="I10" s="55" t="s">
        <v>115</v>
      </c>
      <c r="J10" s="56"/>
      <c r="K10" s="102"/>
      <c r="L10" s="55" t="s">
        <v>113</v>
      </c>
      <c r="M10" s="56"/>
      <c r="N10" s="55" t="s">
        <v>140</v>
      </c>
      <c r="O10" s="56"/>
      <c r="P10" s="55" t="s">
        <v>114</v>
      </c>
      <c r="Q10" s="56"/>
      <c r="R10" s="55" t="s">
        <v>115</v>
      </c>
      <c r="S10" s="56"/>
    </row>
    <row r="11" spans="2:19" x14ac:dyDescent="0.25">
      <c r="B11" s="57"/>
      <c r="C11" s="58" t="s">
        <v>89</v>
      </c>
      <c r="D11" s="59" t="s">
        <v>90</v>
      </c>
      <c r="E11" s="58" t="s">
        <v>89</v>
      </c>
      <c r="F11" s="59" t="s">
        <v>90</v>
      </c>
      <c r="G11" s="58" t="s">
        <v>89</v>
      </c>
      <c r="H11" s="59" t="s">
        <v>90</v>
      </c>
      <c r="I11" s="58" t="s">
        <v>89</v>
      </c>
      <c r="J11" s="59" t="s">
        <v>90</v>
      </c>
      <c r="L11" s="58" t="s">
        <v>89</v>
      </c>
      <c r="M11" s="59" t="s">
        <v>90</v>
      </c>
      <c r="N11" s="58" t="s">
        <v>89</v>
      </c>
      <c r="O11" s="59" t="s">
        <v>90</v>
      </c>
      <c r="P11" s="58" t="s">
        <v>89</v>
      </c>
      <c r="Q11" s="59" t="s">
        <v>90</v>
      </c>
      <c r="R11" s="58" t="s">
        <v>89</v>
      </c>
      <c r="S11" s="59" t="s">
        <v>90</v>
      </c>
    </row>
    <row r="12" spans="2:19" x14ac:dyDescent="0.25">
      <c r="B12" s="64" t="s">
        <v>141</v>
      </c>
      <c r="C12" s="109">
        <v>3381</v>
      </c>
      <c r="D12" s="110">
        <v>3381</v>
      </c>
      <c r="E12" s="110">
        <v>4683</v>
      </c>
      <c r="F12" s="110">
        <v>4683</v>
      </c>
      <c r="G12" s="110">
        <v>6728</v>
      </c>
      <c r="H12" s="110">
        <v>6728</v>
      </c>
      <c r="I12" s="110">
        <v>7142</v>
      </c>
      <c r="J12" s="111">
        <v>7142</v>
      </c>
      <c r="L12" s="118"/>
      <c r="M12" s="119"/>
      <c r="N12" s="119"/>
      <c r="O12" s="119"/>
      <c r="P12" s="119"/>
      <c r="Q12" s="119"/>
      <c r="R12" s="119"/>
      <c r="S12" s="120"/>
    </row>
    <row r="13" spans="2:19" x14ac:dyDescent="0.25">
      <c r="B13" s="64" t="s">
        <v>139</v>
      </c>
      <c r="C13" s="109">
        <v>250</v>
      </c>
      <c r="D13" s="110">
        <v>250</v>
      </c>
      <c r="E13" s="110">
        <v>250</v>
      </c>
      <c r="F13" s="110">
        <v>250</v>
      </c>
      <c r="G13" s="110">
        <v>250</v>
      </c>
      <c r="H13" s="110">
        <v>250</v>
      </c>
      <c r="I13" s="110">
        <v>250</v>
      </c>
      <c r="J13" s="111">
        <v>250</v>
      </c>
      <c r="L13" s="118"/>
      <c r="M13" s="119"/>
      <c r="N13" s="119"/>
      <c r="O13" s="119"/>
      <c r="P13" s="119"/>
      <c r="Q13" s="119"/>
      <c r="R13" s="119"/>
      <c r="S13" s="120"/>
    </row>
    <row r="14" spans="2:19" x14ac:dyDescent="0.25">
      <c r="B14" s="64" t="s">
        <v>142</v>
      </c>
      <c r="C14" s="109">
        <v>200</v>
      </c>
      <c r="D14" s="110">
        <v>200</v>
      </c>
      <c r="E14" s="110">
        <v>200</v>
      </c>
      <c r="F14" s="110">
        <v>200</v>
      </c>
      <c r="G14" s="110">
        <v>200</v>
      </c>
      <c r="H14" s="110">
        <v>200</v>
      </c>
      <c r="I14" s="110">
        <v>200</v>
      </c>
      <c r="J14" s="111">
        <v>200</v>
      </c>
      <c r="L14" s="118"/>
      <c r="M14" s="119"/>
      <c r="N14" s="119"/>
      <c r="O14" s="119"/>
      <c r="P14" s="119"/>
      <c r="Q14" s="119"/>
      <c r="R14" s="119"/>
      <c r="S14" s="120"/>
    </row>
    <row r="15" spans="2:19" x14ac:dyDescent="0.25">
      <c r="B15" s="64" t="s">
        <v>143</v>
      </c>
      <c r="C15" s="109">
        <v>0</v>
      </c>
      <c r="D15" s="110">
        <v>510</v>
      </c>
      <c r="E15" s="110">
        <v>0</v>
      </c>
      <c r="F15" s="110">
        <v>610</v>
      </c>
      <c r="G15" s="110">
        <v>0</v>
      </c>
      <c r="H15" s="110">
        <v>770</v>
      </c>
      <c r="I15" s="110">
        <v>0</v>
      </c>
      <c r="J15" s="111">
        <v>810</v>
      </c>
      <c r="L15" s="118"/>
      <c r="M15" s="119"/>
      <c r="N15" s="119"/>
      <c r="O15" s="119"/>
      <c r="P15" s="119"/>
      <c r="Q15" s="119"/>
      <c r="R15" s="119"/>
      <c r="S15" s="120"/>
    </row>
    <row r="16" spans="2:19" x14ac:dyDescent="0.25">
      <c r="B16" s="64" t="s">
        <v>154</v>
      </c>
      <c r="C16" s="109">
        <v>0</v>
      </c>
      <c r="D16" s="110">
        <v>300</v>
      </c>
      <c r="E16" s="110">
        <v>0</v>
      </c>
      <c r="F16" s="110">
        <v>300</v>
      </c>
      <c r="G16" s="110">
        <v>0</v>
      </c>
      <c r="H16" s="110">
        <v>300</v>
      </c>
      <c r="I16" s="110">
        <v>0</v>
      </c>
      <c r="J16" s="111">
        <v>300</v>
      </c>
      <c r="L16" s="118"/>
      <c r="M16" s="119"/>
      <c r="N16" s="119"/>
      <c r="O16" s="119"/>
      <c r="P16" s="119"/>
      <c r="Q16" s="119"/>
      <c r="R16" s="119"/>
      <c r="S16" s="120"/>
    </row>
    <row r="17" spans="2:28" x14ac:dyDescent="0.25">
      <c r="B17" s="64"/>
      <c r="C17" s="109"/>
      <c r="D17" s="110"/>
      <c r="E17" s="110"/>
      <c r="F17" s="110"/>
      <c r="G17" s="110"/>
      <c r="H17" s="110"/>
      <c r="I17" s="110"/>
      <c r="J17" s="111"/>
      <c r="L17" s="118"/>
      <c r="M17" s="119"/>
      <c r="N17" s="119"/>
      <c r="O17" s="119"/>
      <c r="P17" s="119"/>
      <c r="Q17" s="119"/>
      <c r="R17" s="119"/>
      <c r="S17" s="120"/>
      <c r="U17" s="55" t="s">
        <v>113</v>
      </c>
      <c r="V17" s="56"/>
      <c r="W17" s="101" t="s">
        <v>140</v>
      </c>
      <c r="X17" s="101"/>
      <c r="Y17" s="55" t="s">
        <v>114</v>
      </c>
      <c r="Z17" s="56"/>
      <c r="AA17" s="55" t="s">
        <v>115</v>
      </c>
      <c r="AB17" s="56"/>
    </row>
    <row r="18" spans="2:28" x14ac:dyDescent="0.25">
      <c r="B18" s="66" t="s">
        <v>82</v>
      </c>
      <c r="C18" s="109">
        <v>-500</v>
      </c>
      <c r="D18" s="110">
        <v>-500</v>
      </c>
      <c r="E18" s="110">
        <v>-500</v>
      </c>
      <c r="F18" s="110">
        <v>-500</v>
      </c>
      <c r="G18" s="110">
        <v>-500</v>
      </c>
      <c r="H18" s="110">
        <v>-500</v>
      </c>
      <c r="I18" s="110">
        <v>-500</v>
      </c>
      <c r="J18" s="111">
        <v>-500</v>
      </c>
      <c r="L18" s="124"/>
      <c r="M18" s="125"/>
      <c r="N18" s="125"/>
      <c r="O18" s="125"/>
      <c r="P18" s="125"/>
      <c r="Q18" s="125"/>
      <c r="R18" s="125"/>
      <c r="S18" s="126"/>
      <c r="U18" s="69" t="s">
        <v>89</v>
      </c>
      <c r="V18" s="70" t="s">
        <v>90</v>
      </c>
      <c r="W18" s="69" t="s">
        <v>89</v>
      </c>
      <c r="X18" s="70" t="s">
        <v>90</v>
      </c>
      <c r="Y18" s="69" t="s">
        <v>89</v>
      </c>
      <c r="Z18" s="70" t="s">
        <v>90</v>
      </c>
      <c r="AA18" s="69" t="s">
        <v>89</v>
      </c>
      <c r="AB18" s="70" t="s">
        <v>90</v>
      </c>
    </row>
    <row r="19" spans="2:28" x14ac:dyDescent="0.25">
      <c r="B19" s="80" t="s">
        <v>91</v>
      </c>
      <c r="C19" s="112">
        <f>C12+C13+C14+C15+C16+C17</f>
        <v>3831</v>
      </c>
      <c r="D19" s="113">
        <f>D12+D13+D14+D15+D16+D17</f>
        <v>4641</v>
      </c>
      <c r="E19" s="113">
        <f t="shared" ref="E19:I19" si="0">E12+E13+E14+E15+E16+E17</f>
        <v>5133</v>
      </c>
      <c r="F19" s="113">
        <f t="shared" si="0"/>
        <v>6043</v>
      </c>
      <c r="G19" s="113">
        <f t="shared" si="0"/>
        <v>7178</v>
      </c>
      <c r="H19" s="113">
        <f t="shared" si="0"/>
        <v>8248</v>
      </c>
      <c r="I19" s="113">
        <f t="shared" si="0"/>
        <v>7592</v>
      </c>
      <c r="J19" s="114">
        <f>J12+J13+J14+J15+J16+J17</f>
        <v>8702</v>
      </c>
      <c r="L19" s="121">
        <f>L12+L13+L14+L15+L16+L17</f>
        <v>0</v>
      </c>
      <c r="M19" s="122">
        <f>M12+M13+M14+M15+M16+M17</f>
        <v>0</v>
      </c>
      <c r="N19" s="122">
        <f t="shared" ref="N19:R19" si="1">N12+N13+N14+N15+N16+N17</f>
        <v>0</v>
      </c>
      <c r="O19" s="122">
        <f t="shared" si="1"/>
        <v>0</v>
      </c>
      <c r="P19" s="122">
        <f t="shared" si="1"/>
        <v>0</v>
      </c>
      <c r="Q19" s="122">
        <f t="shared" si="1"/>
        <v>0</v>
      </c>
      <c r="R19" s="122">
        <f t="shared" si="1"/>
        <v>0</v>
      </c>
      <c r="S19" s="123">
        <f>S12+S13+S14+S15+S16+S17</f>
        <v>0</v>
      </c>
      <c r="U19" s="112">
        <f>IF(L19&lt;&gt;0,L19,C19)</f>
        <v>3831</v>
      </c>
      <c r="V19" s="113">
        <f>IF(M19&lt;&gt;0,M19,D19)</f>
        <v>4641</v>
      </c>
      <c r="W19" s="113">
        <f t="shared" ref="W19:AA20" si="2">IF(N19&lt;&gt;0,N19,E19)</f>
        <v>5133</v>
      </c>
      <c r="X19" s="113">
        <f t="shared" si="2"/>
        <v>6043</v>
      </c>
      <c r="Y19" s="113">
        <f t="shared" si="2"/>
        <v>7178</v>
      </c>
      <c r="Z19" s="113">
        <f t="shared" si="2"/>
        <v>8248</v>
      </c>
      <c r="AA19" s="113">
        <f t="shared" si="2"/>
        <v>7592</v>
      </c>
      <c r="AB19" s="114">
        <f>IF(S19&lt;&gt;0,S19,J19)</f>
        <v>8702</v>
      </c>
    </row>
    <row r="20" spans="2:28" x14ac:dyDescent="0.25">
      <c r="B20" s="76" t="s">
        <v>92</v>
      </c>
      <c r="C20" s="115">
        <f>C12+C13+C14+C15+C16+C17+C18</f>
        <v>3331</v>
      </c>
      <c r="D20" s="116">
        <f>D12+D13+D14+D15+D16+D17+D18</f>
        <v>4141</v>
      </c>
      <c r="E20" s="116">
        <f t="shared" ref="E20:I20" si="3">E12+E13+E14+E15+E16+E17+E18</f>
        <v>4633</v>
      </c>
      <c r="F20" s="116">
        <f t="shared" si="3"/>
        <v>5543</v>
      </c>
      <c r="G20" s="116">
        <f t="shared" si="3"/>
        <v>6678</v>
      </c>
      <c r="H20" s="116">
        <f t="shared" si="3"/>
        <v>7748</v>
      </c>
      <c r="I20" s="116">
        <f t="shared" si="3"/>
        <v>7092</v>
      </c>
      <c r="J20" s="117">
        <f>J12+J13+J14+J15+J16+J17+J18</f>
        <v>8202</v>
      </c>
      <c r="L20" s="115">
        <f>L12+L13+L14+L15+L16+L17+L18</f>
        <v>0</v>
      </c>
      <c r="M20" s="116">
        <f>M12+M13+M14+M15+M16+M17+M18</f>
        <v>0</v>
      </c>
      <c r="N20" s="116">
        <f t="shared" ref="N20:R20" si="4">N12+N13+N14+N15+N16+N17+N18</f>
        <v>0</v>
      </c>
      <c r="O20" s="116">
        <f t="shared" si="4"/>
        <v>0</v>
      </c>
      <c r="P20" s="116">
        <f t="shared" si="4"/>
        <v>0</v>
      </c>
      <c r="Q20" s="116">
        <f t="shared" si="4"/>
        <v>0</v>
      </c>
      <c r="R20" s="116">
        <f t="shared" si="4"/>
        <v>0</v>
      </c>
      <c r="S20" s="117">
        <f>S12+S13+S14+S15+S16+S17+S18</f>
        <v>0</v>
      </c>
      <c r="U20" s="115">
        <f>IF(L20&lt;&gt;0,L20,C20)</f>
        <v>3331</v>
      </c>
      <c r="V20" s="116">
        <f>IF(M20&lt;&gt;0,M20,D20)</f>
        <v>4141</v>
      </c>
      <c r="W20" s="116">
        <f t="shared" si="2"/>
        <v>4633</v>
      </c>
      <c r="X20" s="116">
        <f t="shared" si="2"/>
        <v>5543</v>
      </c>
      <c r="Y20" s="116">
        <f t="shared" si="2"/>
        <v>6678</v>
      </c>
      <c r="Z20" s="116">
        <f t="shared" si="2"/>
        <v>7748</v>
      </c>
      <c r="AA20" s="116">
        <f t="shared" si="2"/>
        <v>7092</v>
      </c>
      <c r="AB20" s="117">
        <f>IF(S20&lt;&gt;0,S20,J20)</f>
        <v>8202</v>
      </c>
    </row>
    <row r="22" spans="2:28" x14ac:dyDescent="0.25">
      <c r="B22" s="12" t="s">
        <v>99</v>
      </c>
      <c r="L22" s="5" t="s">
        <v>100</v>
      </c>
      <c r="O22" s="82"/>
      <c r="P22" s="83"/>
      <c r="Q22" s="83"/>
      <c r="R22" s="83"/>
      <c r="S22" s="84"/>
    </row>
    <row r="23" spans="2:28" x14ac:dyDescent="0.25">
      <c r="B23" s="13" t="s">
        <v>141</v>
      </c>
      <c r="C23" s="2" t="s">
        <v>303</v>
      </c>
      <c r="L23" s="13" t="s">
        <v>141</v>
      </c>
      <c r="O23" s="85"/>
      <c r="P23" s="86"/>
      <c r="Q23" s="86"/>
      <c r="R23" s="86"/>
      <c r="S23" s="87"/>
      <c r="T23" s="79"/>
      <c r="U23" s="79"/>
      <c r="V23" s="79"/>
      <c r="W23" s="79"/>
      <c r="X23" s="79"/>
      <c r="Y23" s="79"/>
      <c r="Z23" s="79"/>
      <c r="AA23" s="79"/>
      <c r="AB23" s="79"/>
    </row>
    <row r="24" spans="2:28" x14ac:dyDescent="0.25">
      <c r="B24" s="13" t="s">
        <v>139</v>
      </c>
      <c r="C24" s="2" t="s">
        <v>146</v>
      </c>
      <c r="L24" s="13" t="s">
        <v>139</v>
      </c>
      <c r="O24" s="85"/>
      <c r="P24" s="86"/>
      <c r="Q24" s="86"/>
      <c r="R24" s="86"/>
      <c r="S24" s="87"/>
      <c r="T24" s="79"/>
      <c r="U24" s="79"/>
      <c r="V24" s="79"/>
      <c r="W24" s="79"/>
      <c r="X24" s="79"/>
      <c r="Y24" s="79"/>
      <c r="Z24" s="79"/>
      <c r="AA24" s="79"/>
      <c r="AB24" s="79"/>
    </row>
    <row r="25" spans="2:28" x14ac:dyDescent="0.25">
      <c r="B25" s="13" t="s">
        <v>142</v>
      </c>
      <c r="C25" s="2" t="s">
        <v>147</v>
      </c>
      <c r="L25" s="13" t="s">
        <v>142</v>
      </c>
      <c r="O25" s="85"/>
      <c r="P25" s="86"/>
      <c r="Q25" s="86"/>
      <c r="R25" s="86"/>
      <c r="S25" s="87"/>
      <c r="T25" s="79"/>
      <c r="U25" s="79"/>
      <c r="V25" s="79"/>
      <c r="W25" s="79"/>
      <c r="X25" s="79"/>
      <c r="Y25" s="79"/>
      <c r="Z25" s="79"/>
      <c r="AA25" s="79"/>
      <c r="AB25" s="79"/>
    </row>
    <row r="26" spans="2:28" x14ac:dyDescent="0.25">
      <c r="B26" s="13" t="s">
        <v>143</v>
      </c>
      <c r="C26" s="2" t="s">
        <v>305</v>
      </c>
      <c r="L26" s="13" t="s">
        <v>143</v>
      </c>
      <c r="O26" s="85"/>
      <c r="P26" s="86"/>
      <c r="Q26" s="86"/>
      <c r="R26" s="86"/>
      <c r="S26" s="87"/>
      <c r="T26" s="79"/>
      <c r="U26" s="79"/>
      <c r="V26" s="79"/>
      <c r="W26" s="79"/>
      <c r="X26" s="79"/>
      <c r="Y26" s="79"/>
      <c r="Z26" s="79"/>
      <c r="AA26" s="79"/>
      <c r="AB26" s="79"/>
    </row>
    <row r="27" spans="2:28" x14ac:dyDescent="0.25">
      <c r="B27" s="13" t="s">
        <v>154</v>
      </c>
      <c r="C27" s="2" t="s">
        <v>304</v>
      </c>
      <c r="L27" s="13" t="s">
        <v>154</v>
      </c>
      <c r="O27" s="85"/>
      <c r="P27" s="86"/>
      <c r="Q27" s="86"/>
      <c r="R27" s="86"/>
      <c r="S27" s="87"/>
      <c r="T27" s="79"/>
      <c r="U27" s="79"/>
      <c r="V27" s="79"/>
      <c r="W27" s="79"/>
      <c r="X27" s="79"/>
      <c r="Y27" s="79"/>
      <c r="Z27" s="79"/>
      <c r="AA27" s="79"/>
      <c r="AB27" s="79"/>
    </row>
    <row r="28" spans="2:28" x14ac:dyDescent="0.25">
      <c r="B28" s="13" t="s">
        <v>82</v>
      </c>
      <c r="C28" s="2" t="s">
        <v>98</v>
      </c>
      <c r="L28" s="13" t="s">
        <v>82</v>
      </c>
      <c r="O28" s="88"/>
      <c r="P28" s="89"/>
      <c r="Q28" s="89"/>
      <c r="R28" s="89"/>
      <c r="S28" s="90"/>
      <c r="T28" s="79"/>
      <c r="U28" s="79"/>
      <c r="V28" s="79"/>
      <c r="W28" s="79"/>
      <c r="X28" s="79"/>
      <c r="Y28" s="79"/>
      <c r="Z28" s="79"/>
      <c r="AA28" s="79"/>
      <c r="AB28" s="79"/>
    </row>
  </sheetData>
  <sheetProtection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BD84-5BD6-4D5E-8878-BDFDAE6EB565}">
  <dimension ref="B1:Y182"/>
  <sheetViews>
    <sheetView workbookViewId="0">
      <pane ySplit="2" topLeftCell="A3" activePane="bottomLeft" state="frozen"/>
      <selection pane="bottomLeft" activeCell="E56" sqref="E56"/>
    </sheetView>
  </sheetViews>
  <sheetFormatPr defaultRowHeight="11.5" x14ac:dyDescent="0.25"/>
  <cols>
    <col min="1" max="1" width="1.69921875" style="2" customWidth="1"/>
    <col min="2" max="2" width="15.796875" style="2" customWidth="1"/>
    <col min="3" max="16384" width="8.796875" style="2"/>
  </cols>
  <sheetData>
    <row r="1" spans="2:8" ht="18" x14ac:dyDescent="0.4">
      <c r="B1" s="1" t="s">
        <v>159</v>
      </c>
    </row>
    <row r="2" spans="2:8" ht="11.5" customHeight="1" x14ac:dyDescent="0.25">
      <c r="B2" s="51"/>
    </row>
    <row r="3" spans="2:8" ht="11.5" customHeight="1" x14ac:dyDescent="0.25">
      <c r="B3" s="51" t="s">
        <v>268</v>
      </c>
    </row>
    <row r="4" spans="2:8" ht="11.5" customHeight="1" x14ac:dyDescent="0.25">
      <c r="B4" s="51" t="s">
        <v>269</v>
      </c>
    </row>
    <row r="5" spans="2:8" ht="11.5" customHeight="1" x14ac:dyDescent="0.25">
      <c r="B5" s="51"/>
    </row>
    <row r="6" spans="2:8" x14ac:dyDescent="0.25">
      <c r="C6" s="53" t="s">
        <v>156</v>
      </c>
      <c r="D6" s="53"/>
      <c r="E6" s="53"/>
      <c r="F6" s="53"/>
    </row>
    <row r="7" spans="2:8" x14ac:dyDescent="0.25">
      <c r="C7" s="4" t="s">
        <v>113</v>
      </c>
      <c r="D7" s="4" t="s">
        <v>155</v>
      </c>
      <c r="E7" s="4" t="s">
        <v>114</v>
      </c>
      <c r="F7" s="4" t="s">
        <v>71</v>
      </c>
    </row>
    <row r="8" spans="2:8" x14ac:dyDescent="0.25">
      <c r="C8" s="46">
        <f>IF('3 Scenarier'!$F$70=0,0,'3 Scenarier'!F95*100/'3 Scenarier'!$F$70)</f>
        <v>0</v>
      </c>
      <c r="D8" s="46">
        <f>IF('3 Scenarier'!$F$70=0,0,'3 Scenarier'!F97*100/'3 Scenarier'!$F$70)</f>
        <v>0</v>
      </c>
      <c r="E8" s="46">
        <f>IF('3 Scenarier'!$F$70=0,0,'3 Scenarier'!F99*100/'3 Scenarier'!$F$70)</f>
        <v>0</v>
      </c>
      <c r="F8" s="46">
        <f>IF('3 Scenarier'!$F$70=0,0,'3 Scenarier'!F101*100/'3 Scenarier'!$F$70)</f>
        <v>0</v>
      </c>
      <c r="H8" s="2" t="s">
        <v>274</v>
      </c>
    </row>
    <row r="10" spans="2:8" x14ac:dyDescent="0.25">
      <c r="C10" s="53" t="s">
        <v>160</v>
      </c>
      <c r="D10" s="53"/>
      <c r="E10" s="53"/>
      <c r="F10" s="53"/>
    </row>
    <row r="11" spans="2:8" x14ac:dyDescent="0.25">
      <c r="C11" s="4" t="s">
        <v>113</v>
      </c>
      <c r="D11" s="4" t="s">
        <v>155</v>
      </c>
      <c r="E11" s="4" t="s">
        <v>114</v>
      </c>
      <c r="F11" s="4" t="s">
        <v>71</v>
      </c>
    </row>
    <row r="12" spans="2:8" x14ac:dyDescent="0.25">
      <c r="B12" s="2" t="s">
        <v>0</v>
      </c>
      <c r="C12" s="82"/>
      <c r="D12" s="83"/>
      <c r="E12" s="83"/>
      <c r="F12" s="84"/>
      <c r="H12" s="2" t="s">
        <v>270</v>
      </c>
    </row>
    <row r="13" spans="2:8" x14ac:dyDescent="0.25">
      <c r="B13" s="2" t="s">
        <v>157</v>
      </c>
      <c r="C13" s="85"/>
      <c r="D13" s="86"/>
      <c r="E13" s="86"/>
      <c r="F13" s="87"/>
    </row>
    <row r="14" spans="2:8" x14ac:dyDescent="0.25">
      <c r="B14" s="2" t="s">
        <v>3</v>
      </c>
      <c r="C14" s="88"/>
      <c r="D14" s="89"/>
      <c r="E14" s="89"/>
      <c r="F14" s="90"/>
    </row>
    <row r="15" spans="2:8" x14ac:dyDescent="0.25">
      <c r="B15" s="2" t="s">
        <v>173</v>
      </c>
      <c r="C15" s="2">
        <f>IF(C8=0,0,100-C12-C13-C14)</f>
        <v>0</v>
      </c>
      <c r="D15" s="2">
        <f t="shared" ref="D15:F15" si="0">IF(D8=0,0,100-D12-D13-D14)</f>
        <v>0</v>
      </c>
      <c r="E15" s="2">
        <f t="shared" si="0"/>
        <v>0</v>
      </c>
      <c r="F15" s="2">
        <f t="shared" si="0"/>
        <v>0</v>
      </c>
    </row>
    <row r="17" spans="2:13" x14ac:dyDescent="0.25">
      <c r="B17" s="5" t="s">
        <v>286</v>
      </c>
      <c r="E17" s="2" t="s">
        <v>101</v>
      </c>
    </row>
    <row r="18" spans="2:13" ht="5" customHeight="1" x14ac:dyDescent="0.25"/>
    <row r="19" spans="2:13" x14ac:dyDescent="0.25">
      <c r="B19" s="2" t="s">
        <v>0</v>
      </c>
      <c r="C19" s="142"/>
      <c r="D19" s="2" t="s">
        <v>24</v>
      </c>
      <c r="E19" s="2" t="s">
        <v>290</v>
      </c>
    </row>
    <row r="20" spans="2:13" ht="5" customHeight="1" x14ac:dyDescent="0.25"/>
    <row r="21" spans="2:13" x14ac:dyDescent="0.25">
      <c r="B21" s="2" t="s">
        <v>158</v>
      </c>
      <c r="C21" s="142"/>
      <c r="D21" s="2" t="s">
        <v>24</v>
      </c>
      <c r="E21" s="2" t="s">
        <v>291</v>
      </c>
    </row>
    <row r="22" spans="2:13" ht="5" customHeight="1" x14ac:dyDescent="0.25"/>
    <row r="23" spans="2:13" x14ac:dyDescent="0.25">
      <c r="B23" s="2" t="s">
        <v>287</v>
      </c>
      <c r="C23" s="142"/>
      <c r="D23" s="2" t="s">
        <v>24</v>
      </c>
      <c r="E23" s="2" t="s">
        <v>292</v>
      </c>
    </row>
    <row r="24" spans="2:13" ht="5" customHeight="1" x14ac:dyDescent="0.25"/>
    <row r="25" spans="2:13" x14ac:dyDescent="0.25">
      <c r="B25" s="2" t="s">
        <v>3</v>
      </c>
      <c r="C25" s="142"/>
      <c r="D25" s="2" t="s">
        <v>24</v>
      </c>
      <c r="E25" s="2" t="s">
        <v>293</v>
      </c>
    </row>
    <row r="26" spans="2:13" ht="5" customHeight="1" x14ac:dyDescent="0.25"/>
    <row r="27" spans="2:13" x14ac:dyDescent="0.25">
      <c r="B27" s="2" t="s">
        <v>288</v>
      </c>
      <c r="C27" s="143"/>
      <c r="D27" s="2" t="s">
        <v>289</v>
      </c>
      <c r="E27" s="2" t="s">
        <v>294</v>
      </c>
    </row>
    <row r="28" spans="2:13" ht="5" customHeight="1" x14ac:dyDescent="0.25">
      <c r="C28" s="148"/>
    </row>
    <row r="29" spans="2:13" x14ac:dyDescent="0.25">
      <c r="B29" s="2" t="s">
        <v>301</v>
      </c>
      <c r="C29" s="143"/>
      <c r="D29" s="2" t="s">
        <v>302</v>
      </c>
      <c r="G29" s="149">
        <v>3.25</v>
      </c>
    </row>
    <row r="31" spans="2:13" x14ac:dyDescent="0.25">
      <c r="B31" s="5" t="s">
        <v>159</v>
      </c>
    </row>
    <row r="32" spans="2:13" ht="34.5" x14ac:dyDescent="0.25">
      <c r="C32" s="137" t="s">
        <v>271</v>
      </c>
      <c r="D32" s="127"/>
      <c r="E32" s="128"/>
      <c r="G32" s="137" t="s">
        <v>273</v>
      </c>
      <c r="H32" s="127"/>
      <c r="I32" s="128"/>
      <c r="K32" s="137" t="s">
        <v>272</v>
      </c>
      <c r="L32" s="127"/>
      <c r="M32" s="128"/>
    </row>
    <row r="33" spans="2:13" ht="46" x14ac:dyDescent="0.25">
      <c r="B33" s="144" t="s">
        <v>295</v>
      </c>
      <c r="C33" s="129" t="s">
        <v>16</v>
      </c>
      <c r="D33" s="130" t="s">
        <v>171</v>
      </c>
      <c r="E33" s="130" t="s">
        <v>172</v>
      </c>
      <c r="G33" s="129" t="s">
        <v>16</v>
      </c>
      <c r="H33" s="130" t="s">
        <v>171</v>
      </c>
      <c r="I33" s="130" t="s">
        <v>172</v>
      </c>
      <c r="K33" s="129" t="s">
        <v>16</v>
      </c>
      <c r="L33" s="130" t="s">
        <v>171</v>
      </c>
      <c r="M33" s="130" t="s">
        <v>172</v>
      </c>
    </row>
    <row r="34" spans="2:13" x14ac:dyDescent="0.25">
      <c r="B34" s="2" t="s">
        <v>161</v>
      </c>
      <c r="C34" s="8">
        <f t="shared" ref="C34:C43" si="1">($C$60*C78+$D$60*C90+$E$60*C102+$F$60*C114+$C$61*H78+$D$61*H90+$E$61*H102+$F$61*H114+$C$62*M78+$D$62*M90+$E$62*M102+$F$62*M114+$C$63*R78+$D$63*R90+$E$63*R102+$F$63*R114)*0.01</f>
        <v>0</v>
      </c>
      <c r="D34" s="8">
        <f t="shared" ref="D34:E34" si="2">($C$60*D78+$D$60*D90+$E$60*D102+$F$60*D114+$C$61*I78+$D$61*I90+$E$61*I102+$F$61*I114+$C$62*N78+$D$62*N90+$E$62*N102+$F$62*N114+$C$63*S78+$D$63*S90+$E$63*S102+$F$63*S114)*0.01</f>
        <v>0</v>
      </c>
      <c r="E34" s="8">
        <f t="shared" si="2"/>
        <v>0</v>
      </c>
      <c r="G34" s="8">
        <f t="shared" ref="G34:G43" si="3">$E$54*C34</f>
        <v>0</v>
      </c>
      <c r="H34" s="8">
        <f t="shared" ref="H34:I34" si="4">$E$54*D34</f>
        <v>0</v>
      </c>
      <c r="I34" s="8">
        <f t="shared" si="4"/>
        <v>0</v>
      </c>
      <c r="K34" s="8">
        <f t="shared" ref="K34:K43" si="5">$E$55*C34</f>
        <v>0</v>
      </c>
      <c r="L34" s="8">
        <f t="shared" ref="L34:M34" si="6">$E$55*D34</f>
        <v>0</v>
      </c>
      <c r="M34" s="8">
        <f t="shared" si="6"/>
        <v>0</v>
      </c>
    </row>
    <row r="35" spans="2:13" x14ac:dyDescent="0.25">
      <c r="B35" s="2" t="s">
        <v>162</v>
      </c>
      <c r="C35" s="8">
        <f t="shared" si="1"/>
        <v>0</v>
      </c>
      <c r="D35" s="8">
        <f t="shared" ref="D35:D43" si="7">($C$60*D79+$D$60*D91+$E$60*D103+$F$60*D115+$C$61*I79+$D$61*I91+$E$61*I103+$F$61*I115+$C$62*N79+$D$62*N91+$E$62*N103+$F$62*N115+$C$63*S79+$D$63*S91+$E$63*S103+$F$63*S115)*0.01</f>
        <v>0</v>
      </c>
      <c r="E35" s="8">
        <f t="shared" ref="E35:E43" si="8">($C$60*E79+$D$60*E91+$E$60*E103+$F$60*E115+$C$61*J79+$D$61*J91+$E$61*J103+$F$61*J115+$C$62*O79+$D$62*O91+$E$62*O103+$F$62*O115+$C$63*T79+$D$63*T91+$E$63*T103+$F$63*T115)*0.01</f>
        <v>0</v>
      </c>
      <c r="G35" s="8">
        <f t="shared" si="3"/>
        <v>0</v>
      </c>
      <c r="H35" s="8">
        <f t="shared" ref="H35:H43" si="9">$E$54*D35</f>
        <v>0</v>
      </c>
      <c r="I35" s="8">
        <f t="shared" ref="I35:I43" si="10">$E$54*E35</f>
        <v>0</v>
      </c>
      <c r="K35" s="8">
        <f t="shared" si="5"/>
        <v>0</v>
      </c>
      <c r="L35" s="8">
        <f t="shared" ref="L35:L43" si="11">$E$55*D35</f>
        <v>0</v>
      </c>
      <c r="M35" s="8">
        <f t="shared" ref="M35:M43" si="12">$E$55*E35</f>
        <v>0</v>
      </c>
    </row>
    <row r="36" spans="2:13" x14ac:dyDescent="0.25">
      <c r="B36" s="2" t="s">
        <v>163</v>
      </c>
      <c r="C36" s="8">
        <f t="shared" si="1"/>
        <v>0</v>
      </c>
      <c r="D36" s="8">
        <f t="shared" si="7"/>
        <v>0</v>
      </c>
      <c r="E36" s="8">
        <f t="shared" si="8"/>
        <v>0</v>
      </c>
      <c r="G36" s="8">
        <f t="shared" si="3"/>
        <v>0</v>
      </c>
      <c r="H36" s="8">
        <f t="shared" si="9"/>
        <v>0</v>
      </c>
      <c r="I36" s="8">
        <f t="shared" si="10"/>
        <v>0</v>
      </c>
      <c r="K36" s="8">
        <f t="shared" si="5"/>
        <v>0</v>
      </c>
      <c r="L36" s="8">
        <f t="shared" si="11"/>
        <v>0</v>
      </c>
      <c r="M36" s="8">
        <f t="shared" si="12"/>
        <v>0</v>
      </c>
    </row>
    <row r="37" spans="2:13" x14ac:dyDescent="0.25">
      <c r="B37" s="2" t="s">
        <v>164</v>
      </c>
      <c r="C37" s="8">
        <f t="shared" si="1"/>
        <v>0</v>
      </c>
      <c r="D37" s="8">
        <f t="shared" si="7"/>
        <v>0</v>
      </c>
      <c r="E37" s="8">
        <f t="shared" si="8"/>
        <v>0</v>
      </c>
      <c r="G37" s="8">
        <f t="shared" si="3"/>
        <v>0</v>
      </c>
      <c r="H37" s="8">
        <f t="shared" si="9"/>
        <v>0</v>
      </c>
      <c r="I37" s="8">
        <f t="shared" si="10"/>
        <v>0</v>
      </c>
      <c r="K37" s="8">
        <f t="shared" si="5"/>
        <v>0</v>
      </c>
      <c r="L37" s="8">
        <f t="shared" si="11"/>
        <v>0</v>
      </c>
      <c r="M37" s="8">
        <f t="shared" si="12"/>
        <v>0</v>
      </c>
    </row>
    <row r="38" spans="2:13" x14ac:dyDescent="0.25">
      <c r="B38" s="2" t="s">
        <v>165</v>
      </c>
      <c r="C38" s="8">
        <f t="shared" si="1"/>
        <v>0</v>
      </c>
      <c r="D38" s="8">
        <f t="shared" si="7"/>
        <v>0</v>
      </c>
      <c r="E38" s="8">
        <f t="shared" si="8"/>
        <v>0</v>
      </c>
      <c r="G38" s="8">
        <f t="shared" si="3"/>
        <v>0</v>
      </c>
      <c r="H38" s="8">
        <f t="shared" si="9"/>
        <v>0</v>
      </c>
      <c r="I38" s="8">
        <f t="shared" si="10"/>
        <v>0</v>
      </c>
      <c r="K38" s="8">
        <f t="shared" si="5"/>
        <v>0</v>
      </c>
      <c r="L38" s="8">
        <f t="shared" si="11"/>
        <v>0</v>
      </c>
      <c r="M38" s="8">
        <f t="shared" si="12"/>
        <v>0</v>
      </c>
    </row>
    <row r="39" spans="2:13" x14ac:dyDescent="0.25">
      <c r="B39" s="2" t="s">
        <v>166</v>
      </c>
      <c r="C39" s="8">
        <f t="shared" si="1"/>
        <v>0</v>
      </c>
      <c r="D39" s="8">
        <f t="shared" si="7"/>
        <v>0</v>
      </c>
      <c r="E39" s="8">
        <f t="shared" si="8"/>
        <v>0</v>
      </c>
      <c r="G39" s="8">
        <f t="shared" si="3"/>
        <v>0</v>
      </c>
      <c r="H39" s="8">
        <f t="shared" si="9"/>
        <v>0</v>
      </c>
      <c r="I39" s="8">
        <f t="shared" si="10"/>
        <v>0</v>
      </c>
      <c r="K39" s="8">
        <f t="shared" si="5"/>
        <v>0</v>
      </c>
      <c r="L39" s="8">
        <f t="shared" si="11"/>
        <v>0</v>
      </c>
      <c r="M39" s="8">
        <f t="shared" si="12"/>
        <v>0</v>
      </c>
    </row>
    <row r="40" spans="2:13" x14ac:dyDescent="0.25">
      <c r="B40" s="2" t="s">
        <v>167</v>
      </c>
      <c r="C40" s="8">
        <f t="shared" si="1"/>
        <v>0</v>
      </c>
      <c r="D40" s="8">
        <f t="shared" si="7"/>
        <v>0</v>
      </c>
      <c r="E40" s="8">
        <f t="shared" si="8"/>
        <v>0</v>
      </c>
      <c r="G40" s="8">
        <f t="shared" si="3"/>
        <v>0</v>
      </c>
      <c r="H40" s="8">
        <f t="shared" si="9"/>
        <v>0</v>
      </c>
      <c r="I40" s="8">
        <f t="shared" si="10"/>
        <v>0</v>
      </c>
      <c r="K40" s="8">
        <f t="shared" si="5"/>
        <v>0</v>
      </c>
      <c r="L40" s="8">
        <f t="shared" si="11"/>
        <v>0</v>
      </c>
      <c r="M40" s="8">
        <f t="shared" si="12"/>
        <v>0</v>
      </c>
    </row>
    <row r="41" spans="2:13" x14ac:dyDescent="0.25">
      <c r="B41" s="2" t="s">
        <v>168</v>
      </c>
      <c r="C41" s="8">
        <f t="shared" si="1"/>
        <v>0</v>
      </c>
      <c r="D41" s="8">
        <f t="shared" si="7"/>
        <v>0</v>
      </c>
      <c r="E41" s="8">
        <f t="shared" si="8"/>
        <v>0</v>
      </c>
      <c r="G41" s="8">
        <f t="shared" si="3"/>
        <v>0</v>
      </c>
      <c r="H41" s="8">
        <f t="shared" si="9"/>
        <v>0</v>
      </c>
      <c r="I41" s="8">
        <f t="shared" si="10"/>
        <v>0</v>
      </c>
      <c r="K41" s="8">
        <f t="shared" si="5"/>
        <v>0</v>
      </c>
      <c r="L41" s="8">
        <f t="shared" si="11"/>
        <v>0</v>
      </c>
      <c r="M41" s="8">
        <f t="shared" si="12"/>
        <v>0</v>
      </c>
    </row>
    <row r="42" spans="2:13" x14ac:dyDescent="0.25">
      <c r="B42" s="2" t="s">
        <v>169</v>
      </c>
      <c r="C42" s="8">
        <f t="shared" si="1"/>
        <v>0</v>
      </c>
      <c r="D42" s="8">
        <f t="shared" si="7"/>
        <v>0</v>
      </c>
      <c r="E42" s="8">
        <f t="shared" si="8"/>
        <v>0</v>
      </c>
      <c r="G42" s="8">
        <f t="shared" si="3"/>
        <v>0</v>
      </c>
      <c r="H42" s="8">
        <f t="shared" si="9"/>
        <v>0</v>
      </c>
      <c r="I42" s="8">
        <f t="shared" si="10"/>
        <v>0</v>
      </c>
      <c r="K42" s="8">
        <f t="shared" si="5"/>
        <v>0</v>
      </c>
      <c r="L42" s="8">
        <f t="shared" si="11"/>
        <v>0</v>
      </c>
      <c r="M42" s="8">
        <f t="shared" si="12"/>
        <v>0</v>
      </c>
    </row>
    <row r="43" spans="2:13" x14ac:dyDescent="0.25">
      <c r="B43" s="2" t="s">
        <v>170</v>
      </c>
      <c r="C43" s="8">
        <f t="shared" si="1"/>
        <v>0</v>
      </c>
      <c r="D43" s="8">
        <f t="shared" si="7"/>
        <v>0</v>
      </c>
      <c r="E43" s="8">
        <f t="shared" si="8"/>
        <v>0</v>
      </c>
      <c r="G43" s="8">
        <f t="shared" si="3"/>
        <v>0</v>
      </c>
      <c r="H43" s="8">
        <f t="shared" si="9"/>
        <v>0</v>
      </c>
      <c r="I43" s="8">
        <f t="shared" si="10"/>
        <v>0</v>
      </c>
      <c r="K43" s="8">
        <f t="shared" si="5"/>
        <v>0</v>
      </c>
      <c r="L43" s="8">
        <f t="shared" si="11"/>
        <v>0</v>
      </c>
      <c r="M43" s="8">
        <f t="shared" si="12"/>
        <v>0</v>
      </c>
    </row>
    <row r="45" spans="2:13" x14ac:dyDescent="0.25">
      <c r="B45" s="5" t="s">
        <v>261</v>
      </c>
    </row>
    <row r="46" spans="2:13" x14ac:dyDescent="0.25">
      <c r="B46" s="2" t="s">
        <v>262</v>
      </c>
    </row>
    <row r="47" spans="2:13" x14ac:dyDescent="0.25">
      <c r="B47" s="2" t="s">
        <v>285</v>
      </c>
    </row>
    <row r="48" spans="2:13" x14ac:dyDescent="0.25">
      <c r="B48" s="2" t="s">
        <v>263</v>
      </c>
    </row>
    <row r="49" spans="2:8" x14ac:dyDescent="0.25">
      <c r="B49" s="2" t="s">
        <v>264</v>
      </c>
    </row>
    <row r="50" spans="2:8" x14ac:dyDescent="0.25">
      <c r="B50" s="2" t="s">
        <v>281</v>
      </c>
    </row>
    <row r="52" spans="2:8" x14ac:dyDescent="0.25">
      <c r="B52" s="5" t="s">
        <v>182</v>
      </c>
    </row>
    <row r="53" spans="2:8" ht="23" x14ac:dyDescent="0.25">
      <c r="C53" s="140" t="s">
        <v>275</v>
      </c>
      <c r="D53" s="140" t="s">
        <v>280</v>
      </c>
      <c r="E53" s="139" t="s">
        <v>185</v>
      </c>
      <c r="H53" s="2" t="s">
        <v>278</v>
      </c>
    </row>
    <row r="54" spans="2:8" x14ac:dyDescent="0.25">
      <c r="B54" s="2" t="s">
        <v>183</v>
      </c>
      <c r="C54" s="2">
        <v>93</v>
      </c>
      <c r="D54" s="16">
        <f>($C$60*C69+$D$60*D69+$E$60*E69+$F$60*F69+$C$61*C70+$D$61*D70+$E$61*E70+$F$61*F70+$C$62*C71+$D$62*D71+$E$62*E71+$F$62*F71+$C$63*C72+$D$63*D72+$E$63*E72+$F$63*F72)*0.01</f>
        <v>0</v>
      </c>
      <c r="E54" s="131">
        <f>IF(D54=0,0,C54/(D54*0.05))</f>
        <v>0</v>
      </c>
      <c r="H54" s="2" t="s">
        <v>279</v>
      </c>
    </row>
    <row r="55" spans="2:8" x14ac:dyDescent="0.25">
      <c r="B55" s="2" t="s">
        <v>184</v>
      </c>
      <c r="C55" s="2">
        <v>150</v>
      </c>
      <c r="D55" s="16">
        <f>($C$60*C69+$D$60*D69+$E$60*E69+$F$60*F69+$C$61*C70+$D$61*D70+$E$61*E70+$F$61*F70+$C$62*C71+$D$62*D71+$E$62*E71+$F$62*F71+$C$63*C72+$D$63*D72+$E$63*E72+$F$63*F72)*0.01</f>
        <v>0</v>
      </c>
      <c r="E55" s="131">
        <f>IF(D55=0,0,C55/(D55*0.05))</f>
        <v>0</v>
      </c>
    </row>
    <row r="58" spans="2:8" x14ac:dyDescent="0.25">
      <c r="B58" s="5" t="s">
        <v>181</v>
      </c>
    </row>
    <row r="59" spans="2:8" x14ac:dyDescent="0.25">
      <c r="C59" s="2" t="s">
        <v>113</v>
      </c>
      <c r="D59" s="2" t="s">
        <v>155</v>
      </c>
      <c r="E59" s="2" t="s">
        <v>114</v>
      </c>
      <c r="F59" s="2" t="s">
        <v>71</v>
      </c>
    </row>
    <row r="60" spans="2:8" x14ac:dyDescent="0.25">
      <c r="B60" s="2" t="s">
        <v>0</v>
      </c>
      <c r="C60" s="132">
        <f t="shared" ref="C60:F63" si="13">C$8*0.1*C12*0.1</f>
        <v>0</v>
      </c>
      <c r="D60" s="132">
        <f t="shared" si="13"/>
        <v>0</v>
      </c>
      <c r="E60" s="132">
        <f t="shared" si="13"/>
        <v>0</v>
      </c>
      <c r="F60" s="132">
        <f t="shared" si="13"/>
        <v>0</v>
      </c>
    </row>
    <row r="61" spans="2:8" x14ac:dyDescent="0.25">
      <c r="B61" s="2" t="s">
        <v>157</v>
      </c>
      <c r="C61" s="132">
        <f t="shared" si="13"/>
        <v>0</v>
      </c>
      <c r="D61" s="132">
        <f t="shared" si="13"/>
        <v>0</v>
      </c>
      <c r="E61" s="132">
        <f t="shared" si="13"/>
        <v>0</v>
      </c>
      <c r="F61" s="132">
        <f t="shared" si="13"/>
        <v>0</v>
      </c>
    </row>
    <row r="62" spans="2:8" x14ac:dyDescent="0.25">
      <c r="B62" s="2" t="s">
        <v>3</v>
      </c>
      <c r="C62" s="132">
        <f t="shared" si="13"/>
        <v>0</v>
      </c>
      <c r="D62" s="132">
        <f t="shared" si="13"/>
        <v>0</v>
      </c>
      <c r="E62" s="132">
        <f t="shared" si="13"/>
        <v>0</v>
      </c>
      <c r="F62" s="132">
        <f t="shared" si="13"/>
        <v>0</v>
      </c>
    </row>
    <row r="63" spans="2:8" x14ac:dyDescent="0.25">
      <c r="B63" s="2" t="s">
        <v>173</v>
      </c>
      <c r="C63" s="132">
        <f t="shared" si="13"/>
        <v>0</v>
      </c>
      <c r="D63" s="132">
        <f t="shared" si="13"/>
        <v>0</v>
      </c>
      <c r="E63" s="132">
        <f t="shared" si="13"/>
        <v>0</v>
      </c>
      <c r="F63" s="132">
        <f t="shared" si="13"/>
        <v>0</v>
      </c>
    </row>
    <row r="64" spans="2:8" x14ac:dyDescent="0.25">
      <c r="C64" s="132">
        <f>SUM(C60:C63)</f>
        <v>0</v>
      </c>
      <c r="D64" s="132">
        <f t="shared" ref="D64:F64" si="14">SUM(D60:D63)</f>
        <v>0</v>
      </c>
      <c r="E64" s="132">
        <f t="shared" si="14"/>
        <v>0</v>
      </c>
      <c r="F64" s="132">
        <f t="shared" si="14"/>
        <v>0</v>
      </c>
      <c r="G64" s="131">
        <f>SUM(C64:F64)</f>
        <v>0</v>
      </c>
    </row>
    <row r="67" spans="2:25" x14ac:dyDescent="0.25">
      <c r="B67" s="5" t="s">
        <v>180</v>
      </c>
    </row>
    <row r="68" spans="2:25" x14ac:dyDescent="0.25">
      <c r="C68" s="2" t="s">
        <v>113</v>
      </c>
      <c r="D68" s="2" t="s">
        <v>155</v>
      </c>
      <c r="E68" s="2" t="s">
        <v>114</v>
      </c>
      <c r="F68" s="2" t="s">
        <v>71</v>
      </c>
    </row>
    <row r="69" spans="2:25" x14ac:dyDescent="0.25">
      <c r="B69" s="2" t="s">
        <v>0</v>
      </c>
      <c r="C69" s="2">
        <v>175</v>
      </c>
      <c r="D69" s="2">
        <v>181</v>
      </c>
      <c r="E69" s="2">
        <v>209</v>
      </c>
      <c r="F69" s="2">
        <v>221</v>
      </c>
      <c r="H69" s="5" t="s">
        <v>276</v>
      </c>
    </row>
    <row r="70" spans="2:25" x14ac:dyDescent="0.25">
      <c r="B70" s="2" t="s">
        <v>157</v>
      </c>
      <c r="C70" s="2">
        <v>155</v>
      </c>
      <c r="D70" s="2">
        <v>159</v>
      </c>
      <c r="E70" s="2">
        <v>172</v>
      </c>
      <c r="F70" s="2">
        <v>183</v>
      </c>
      <c r="H70" s="2" t="s">
        <v>277</v>
      </c>
    </row>
    <row r="71" spans="2:25" x14ac:dyDescent="0.25">
      <c r="B71" s="2" t="s">
        <v>3</v>
      </c>
      <c r="C71" s="2">
        <v>173</v>
      </c>
      <c r="D71" s="2">
        <v>185</v>
      </c>
      <c r="E71" s="2">
        <v>193</v>
      </c>
      <c r="F71" s="2">
        <v>196</v>
      </c>
    </row>
    <row r="72" spans="2:25" x14ac:dyDescent="0.25">
      <c r="B72" s="2" t="s">
        <v>158</v>
      </c>
      <c r="C72" s="2">
        <v>137</v>
      </c>
      <c r="D72" s="2">
        <v>133</v>
      </c>
      <c r="E72" s="2">
        <v>141</v>
      </c>
      <c r="F72" s="2">
        <v>147</v>
      </c>
    </row>
    <row r="74" spans="2:25" x14ac:dyDescent="0.25">
      <c r="B74" s="5" t="s">
        <v>282</v>
      </c>
    </row>
    <row r="75" spans="2:25" ht="5" customHeight="1" x14ac:dyDescent="0.25"/>
    <row r="76" spans="2:25" x14ac:dyDescent="0.25">
      <c r="B76" s="5" t="s">
        <v>0</v>
      </c>
      <c r="G76" s="5" t="s">
        <v>157</v>
      </c>
      <c r="L76" s="5" t="s">
        <v>3</v>
      </c>
      <c r="Q76" s="5" t="s">
        <v>158</v>
      </c>
      <c r="V76" s="5" t="s">
        <v>157</v>
      </c>
    </row>
    <row r="77" spans="2:25" ht="34.5" x14ac:dyDescent="0.25">
      <c r="B77" s="138" t="s">
        <v>179</v>
      </c>
      <c r="C77" s="134" t="s">
        <v>16</v>
      </c>
      <c r="D77" s="135" t="s">
        <v>174</v>
      </c>
      <c r="E77" s="135" t="s">
        <v>175</v>
      </c>
      <c r="G77" s="133" t="s">
        <v>179</v>
      </c>
      <c r="H77" s="134" t="s">
        <v>16</v>
      </c>
      <c r="I77" s="135" t="s">
        <v>174</v>
      </c>
      <c r="J77" s="135" t="s">
        <v>175</v>
      </c>
      <c r="L77" s="133" t="s">
        <v>179</v>
      </c>
      <c r="M77" s="134" t="s">
        <v>16</v>
      </c>
      <c r="N77" s="135" t="s">
        <v>174</v>
      </c>
      <c r="O77" s="135" t="s">
        <v>175</v>
      </c>
      <c r="Q77" s="133" t="s">
        <v>179</v>
      </c>
      <c r="R77" s="134" t="s">
        <v>16</v>
      </c>
      <c r="S77" s="135" t="s">
        <v>174</v>
      </c>
      <c r="T77" s="135" t="s">
        <v>175</v>
      </c>
      <c r="V77" s="133" t="s">
        <v>179</v>
      </c>
      <c r="W77" s="134" t="s">
        <v>16</v>
      </c>
      <c r="X77" s="135" t="s">
        <v>174</v>
      </c>
      <c r="Y77" s="135" t="s">
        <v>175</v>
      </c>
    </row>
    <row r="78" spans="2:25" x14ac:dyDescent="0.25">
      <c r="B78" s="2" t="s">
        <v>161</v>
      </c>
      <c r="C78" s="8">
        <f>'Ark1'!C20+(HvedeEgen-HvedeStand)*$C129+(NStand-NEgen)*$C$179</f>
        <v>-3.5968404062505202</v>
      </c>
      <c r="D78" s="8">
        <f>'Ark1'!D20+(HvedeEgen-HvedeStand)*$C129+(NStand-NEgen)*$C$179+('Ark1'!$D20-'Ark1'!$C20)*(ProtEgen-ProtStand)/ProtStand</f>
        <v>27.406624095702682</v>
      </c>
      <c r="E78" s="8">
        <f>'Ark1'!E20+(HvedeEgen-HvedeStand)*$C129+(NStand-NEgen)*$C$179+('Ark1'!$D20-'Ark1'!$C20)*(ProtEgen-ProtStand)/ProtStand</f>
        <v>32.29076472070301</v>
      </c>
      <c r="G78" s="2" t="s">
        <v>161</v>
      </c>
      <c r="H78" s="8">
        <f>'Ark1'!H20+(RugEgen-RugStand)*$D129+(NStand-NEgen)*$D$179</f>
        <v>11.84929889666364</v>
      </c>
      <c r="I78" s="8">
        <f>'Ark1'!I20+(RugEgen-RugStand)*$D129+(NStand-NEgen)*$D$179+('Ark1'!$I20-'Ark1'!$H20)*(ProtEgen-ProtStand)/ProtStand</f>
        <v>42.747364949464099</v>
      </c>
      <c r="J78" s="8">
        <f>'Ark1'!J20+(RugEgen-RugStand)*$D129+(NStand-NEgen)*$D$179+('Ark1'!$I20-'Ark1'!$H20)*(ProtEgen-ProtStand)/ProtStand</f>
        <v>49.386252238789893</v>
      </c>
      <c r="L78" s="2" t="s">
        <v>161</v>
      </c>
      <c r="M78" s="8">
        <f>'Ark1'!M20+(RapsEgen-RapsStand)*E129+(NStand-NEgen)*$E$179</f>
        <v>63.656994422000935</v>
      </c>
      <c r="N78" s="8">
        <f>'Ark1'!N20+(RugEgen-RugStand)*$D129+(NStand-NEgen)*$E$179+('Ark1'!$N20-'Ark1'!$M20)*(ProtEgen-ProtStand)/ProtStand</f>
        <v>63.656994422000935</v>
      </c>
      <c r="O78" s="8">
        <f>'Ark1'!O20+(RugEgen-RugStand)*$D129+(NStand-NEgen)*$E$179+('Ark1'!$N20-'Ark1'!$M20)*(ProtEgen-ProtStand)/ProtStand</f>
        <v>68.711204422001174</v>
      </c>
      <c r="Q78" s="2" t="s">
        <v>161</v>
      </c>
      <c r="R78" s="8">
        <f>'Ark1'!R20+(BygEgen-BygStand)*F129+(NStand-NEgen)*$F$179</f>
        <v>8.6607632153481973</v>
      </c>
      <c r="S78" s="8">
        <f>'Ark1'!S20+(RugEgen-RugStand)*$D129+(NStand-NEgen)*$F$179+('Ark1'!$S20-'Ark1'!$R20)*(ProtEgen-ProtStand)/ProtStand</f>
        <v>28.9139623768815</v>
      </c>
      <c r="T78" s="8">
        <f>'Ark1'!T20+(RugEgen-RugStand)*$D129+(NStand-NEgen)*$F$179+('Ark1'!$S20-'Ark1'!$R20)*(ProtEgen-ProtStand)/ProtStand</f>
        <v>34.041437693370881</v>
      </c>
      <c r="V78" s="2" t="s">
        <v>161</v>
      </c>
      <c r="W78" s="8"/>
      <c r="X78" s="8"/>
      <c r="Y78" s="8"/>
    </row>
    <row r="79" spans="2:25" x14ac:dyDescent="0.25">
      <c r="B79" s="2" t="s">
        <v>162</v>
      </c>
      <c r="C79" s="8">
        <f>'Ark1'!C21+(HvedeEgen-HvedeStand)*C130+(NStand-NEgen)*$C$179</f>
        <v>20.205629281251277</v>
      </c>
      <c r="D79" s="8">
        <f>'Ark1'!D21+(HvedeEgen-HvedeStand)*$C130+(NStand-NEgen)*$C$179+('Ark1'!D21-'Ark1'!C21)*(ProtEgen-ProtStand)/ProtStand</f>
        <v>50.405316732422762</v>
      </c>
      <c r="E79" s="8">
        <f>'Ark1'!E21+(HvedeEgen-HvedeStand)*$C130+(NStand-NEgen)*$C$179+('Ark1'!$D21-'Ark1'!$C21)*(ProtEgen-ProtStand)/ProtStand</f>
        <v>57.471488607422543</v>
      </c>
      <c r="G79" s="2" t="s">
        <v>162</v>
      </c>
      <c r="H79" s="8">
        <f>'Ark1'!H21+(RugEgen-RugStand)*D130+(NStand-NEgen)*$D$179</f>
        <v>28.399964032915705</v>
      </c>
      <c r="I79" s="8">
        <f>'Ark1'!I21+(RugEgen-RugStand)*$D130+(NStand-NEgen)*$D$179+('Ark1'!I21-'Ark1'!H21)*(ProtEgen-ProtStand)/ProtStand</f>
        <v>58.4512540631913</v>
      </c>
      <c r="J79" s="8">
        <f>'Ark1'!J21+(RugEgen-RugStand)*$D130+(NStand-NEgen)*$D$179+('Ark1'!$I21-'Ark1'!$H21)*(ProtEgen-ProtStand)/ProtStand</f>
        <v>66.855978852517183</v>
      </c>
      <c r="L79" s="2" t="s">
        <v>162</v>
      </c>
      <c r="M79" s="8">
        <f>'Ark1'!M21+(RapsEgen-RapsStand)*E130+(NStand-NEgen)*$E$179</f>
        <v>89.06736326599912</v>
      </c>
      <c r="N79" s="8">
        <f>'Ark1'!N21+(RugEgen-RugStand)*$D130+(NStand-NEgen)*$E$179+('Ark1'!$N21-'Ark1'!$M21)*(ProtEgen-ProtStand)/ProtStand</f>
        <v>89.06736326599912</v>
      </c>
      <c r="O79" s="8">
        <f>'Ark1'!O21+(RugEgen-RugStand)*$D130+(NStand-NEgen)*$E$179+('Ark1'!$N21-'Ark1'!$M21)*(ProtEgen-ProtStand)/ProtStand</f>
        <v>95.129993265998564</v>
      </c>
      <c r="Q79" s="2" t="s">
        <v>162</v>
      </c>
      <c r="R79" s="8">
        <f>'Ark1'!R21+(BygEgen-BygStand)*F130+(NStand-NEgen)*$F$179</f>
        <v>21.948028545325087</v>
      </c>
      <c r="S79" s="8">
        <f>'Ark1'!S21+(RugEgen-RugStand)*$D130+(NStand-NEgen)*$F$179+('Ark1'!$S21-'Ark1'!$R21)*(ProtEgen-ProtStand)/ProtStand</f>
        <v>41.630554382462378</v>
      </c>
      <c r="T79" s="8">
        <f>'Ark1'!T21+(RugEgen-RugStand)*$D130+(NStand-NEgen)*$F$179+('Ark1'!$S21-'Ark1'!$R21)*(ProtEgen-ProtStand)/ProtStand</f>
        <v>48.039013948951833</v>
      </c>
      <c r="V79" s="2" t="s">
        <v>162</v>
      </c>
      <c r="W79" s="8"/>
      <c r="X79" s="8"/>
      <c r="Y79" s="8"/>
    </row>
    <row r="80" spans="2:25" x14ac:dyDescent="0.25">
      <c r="B80" s="2" t="s">
        <v>163</v>
      </c>
      <c r="C80" s="8">
        <f>'Ark1'!C22+(HvedeEgen-HvedeStand)*C131+(NStand-NEgen)*$C$179</f>
        <v>44.008098968750346</v>
      </c>
      <c r="D80" s="8">
        <f>'Ark1'!D22+(HvedeEgen-HvedeStand)*$C131+(NStand-NEgen)*$C$179+('Ark1'!D22-'Ark1'!C22)*(ProtEgen-ProtStand)/ProtStand</f>
        <v>73.031700287109743</v>
      </c>
      <c r="E80" s="8">
        <f>'Ark1'!E22+(HvedeEgen-HvedeStand)*$C131+(NStand-NEgen)*$C$179+('Ark1'!$D22-'Ark1'!$C22)*(ProtEgen-ProtStand)/ProtStand</f>
        <v>82.279903412109888</v>
      </c>
      <c r="G80" s="2" t="s">
        <v>163</v>
      </c>
      <c r="H80" s="8">
        <f>'Ark1'!H22+(RugEgen-RugStand)*D131+(NStand-NEgen)*$D$179</f>
        <v>44.950629169163221</v>
      </c>
      <c r="I80" s="8">
        <f>'Ark1'!I22+(RugEgen-RugStand)*$D131+(NStand-NEgen)*$D$179+('Ark1'!I22-'Ark1'!H22)*(ProtEgen-ProtStand)/ProtStand</f>
        <v>73.888280984726407</v>
      </c>
      <c r="J80" s="8">
        <f>'Ark1'!J22+(RugEgen-RugStand)*$D131+(NStand-NEgen)*$D$179+('Ark1'!$I22-'Ark1'!$H22)*(ProtEgen-ProtStand)/ProtStand</f>
        <v>84.058843274052379</v>
      </c>
      <c r="L80" s="2" t="s">
        <v>163</v>
      </c>
      <c r="M80" s="8">
        <f>'Ark1'!M22+(RapsEgen-RapsStand)*E131+(NStand-NEgen)*$E$179</f>
        <v>114.47773210999912</v>
      </c>
      <c r="N80" s="8">
        <f>'Ark1'!N22+(RugEgen-RugStand)*$D131+(NStand-NEgen)*$E$179+('Ark1'!$N22-'Ark1'!$M22)*(ProtEgen-ProtStand)/ProtStand</f>
        <v>114.47773210999912</v>
      </c>
      <c r="O80" s="8">
        <f>'Ark1'!O22+(RugEgen-RugStand)*$D131+(NStand-NEgen)*$E$179+('Ark1'!$N22-'Ark1'!$M22)*(ProtEgen-ProtStand)/ProtStand</f>
        <v>121.54878210999959</v>
      </c>
      <c r="Q80" s="2" t="s">
        <v>163</v>
      </c>
      <c r="R80" s="8">
        <f>'Ark1'!R22+(BygEgen-BygStand)*F131+(NStand-NEgen)*$F$179</f>
        <v>35.235293875298794</v>
      </c>
      <c r="S80" s="8">
        <f>'Ark1'!S22+(RugEgen-RugStand)*$D131+(NStand-NEgen)*$F$179+('Ark1'!$S22-'Ark1'!$R22)*(ProtEgen-ProtStand)/ProtStand</f>
        <v>54.176038916846665</v>
      </c>
      <c r="T80" s="8">
        <f>'Ark1'!T22+(RugEgen-RugStand)*$D131+(NStand-NEgen)*$F$179+('Ark1'!$S22-'Ark1'!$R22)*(ProtEgen-ProtStand)/ProtStand</f>
        <v>61.865482733335739</v>
      </c>
      <c r="V80" s="2" t="s">
        <v>163</v>
      </c>
      <c r="W80" s="8"/>
      <c r="X80" s="8"/>
      <c r="Y80" s="8"/>
    </row>
    <row r="81" spans="2:25" x14ac:dyDescent="0.25">
      <c r="B81" s="2" t="s">
        <v>164</v>
      </c>
      <c r="C81" s="8">
        <f>'Ark1'!C23+(HvedeEgen-HvedeStand)*C132+(NStand-NEgen)*$C$179</f>
        <v>67.810568656247597</v>
      </c>
      <c r="D81" s="8">
        <f>'Ark1'!D23+(HvedeEgen-HvedeStand)*$C132+(NStand-NEgen)*$C$179+('Ark1'!D23-'Ark1'!C23)*(ProtEgen-ProtStand)/ProtStand</f>
        <v>95.285774759763626</v>
      </c>
      <c r="E81" s="8">
        <f>'Ark1'!E23+(HvedeEgen-HvedeStand)*$C132+(NStand-NEgen)*$C$179+('Ark1'!$D23-'Ark1'!$C23)*(ProtEgen-ProtStand)/ProtStand</f>
        <v>106.71600913476323</v>
      </c>
      <c r="G81" s="2" t="s">
        <v>164</v>
      </c>
      <c r="H81" s="8">
        <f>'Ark1'!H23+(RugEgen-RugStand)*D132+(NStand-NEgen)*$D$179</f>
        <v>61.501294305414376</v>
      </c>
      <c r="I81" s="8">
        <f>'Ark1'!I23+(RugEgen-RugStand)*$D132+(NStand-NEgen)*$D$179+('Ark1'!I23-'Ark1'!H23)*(ProtEgen-ProtStand)/ProtStand</f>
        <v>89.058445714078516</v>
      </c>
      <c r="J81" s="8">
        <f>'Ark1'!J23+(RugEgen-RugStand)*$D132+(NStand-NEgen)*$D$179+('Ark1'!$I23-'Ark1'!$H23)*(ProtEgen-ProtStand)/ProtStand</f>
        <v>100.99484550340458</v>
      </c>
      <c r="L81" s="2" t="s">
        <v>164</v>
      </c>
      <c r="M81" s="8">
        <f>'Ark1'!M23+(RapsEgen-RapsStand)*E132+(NStand-NEgen)*$E$179</f>
        <v>139.88810095400004</v>
      </c>
      <c r="N81" s="8">
        <f>'Ark1'!N23+(RugEgen-RugStand)*$D132+(NStand-NEgen)*$E$179+('Ark1'!$N23-'Ark1'!$M23)*(ProtEgen-ProtStand)/ProtStand</f>
        <v>139.88810095400004</v>
      </c>
      <c r="O81" s="8">
        <f>'Ark1'!O23+(RugEgen-RugStand)*$D132+(NStand-NEgen)*$E$179+('Ark1'!$N23-'Ark1'!$M23)*(ProtEgen-ProtStand)/ProtStand</f>
        <v>147.96757095399971</v>
      </c>
      <c r="Q81" s="2" t="s">
        <v>164</v>
      </c>
      <c r="R81" s="8">
        <f>'Ark1'!R23+(BygEgen-BygStand)*F132+(NStand-NEgen)*$F$179</f>
        <v>48.522559205272955</v>
      </c>
      <c r="S81" s="8">
        <f>'Ark1'!S23+(RugEgen-RugStand)*$D132+(NStand-NEgen)*$F$179+('Ark1'!$S23-'Ark1'!$R23)*(ProtEgen-ProtStand)/ProtStand</f>
        <v>66.550415980037542</v>
      </c>
      <c r="T81" s="8">
        <f>'Ark1'!T23+(RugEgen-RugStand)*$D132+(NStand-NEgen)*$F$179+('Ark1'!$S23-'Ark1'!$R23)*(ProtEgen-ProtStand)/ProtStand</f>
        <v>75.520844046527145</v>
      </c>
      <c r="V81" s="2" t="s">
        <v>164</v>
      </c>
      <c r="W81" s="8"/>
      <c r="X81" s="8"/>
      <c r="Y81" s="8"/>
    </row>
    <row r="82" spans="2:25" x14ac:dyDescent="0.25">
      <c r="B82" s="2" t="s">
        <v>165</v>
      </c>
      <c r="C82" s="8">
        <f>'Ark1'!C24+(HvedeEgen-HvedeStand)*C133+(NStand-NEgen)*$C$179</f>
        <v>91.613038343752123</v>
      </c>
      <c r="D82" s="8">
        <f>'Ark1'!D24+(HvedeEgen-HvedeStand)*$C133+(NStand-NEgen)*$C$179+('Ark1'!D24-'Ark1'!C24)*(ProtEgen-ProtStand)/ProtStand</f>
        <v>117.1675401503926</v>
      </c>
      <c r="E82" s="8">
        <f>'Ark1'!E24+(HvedeEgen-HvedeStand)*$C133+(NStand-NEgen)*$C$179+('Ark1'!$D24-'Ark1'!$C24)*(ProtEgen-ProtStand)/ProtStand</f>
        <v>130.77980577539256</v>
      </c>
      <c r="G82" s="2" t="s">
        <v>165</v>
      </c>
      <c r="H82" s="8">
        <f>'Ark1'!H24+(RugEgen-RugStand)*D133+(NStand-NEgen)*$D$179</f>
        <v>78.051959441664621</v>
      </c>
      <c r="I82" s="8">
        <f>'Ark1'!I24+(RugEgen-RugStand)*$D133+(NStand-NEgen)*$D$179+('Ark1'!I24-'Ark1'!H24)*(ProtEgen-ProtStand)/ProtStand</f>
        <v>103.96174825124126</v>
      </c>
      <c r="J82" s="8">
        <f>'Ark1'!J24+(RugEgen-RugStand)*$D133+(NStand-NEgen)*$D$179+('Ark1'!$I24-'Ark1'!$H24)*(ProtEgen-ProtStand)/ProtStand</f>
        <v>117.6639855405665</v>
      </c>
      <c r="L82" s="2" t="s">
        <v>165</v>
      </c>
      <c r="M82" s="8">
        <f>'Ark1'!M24+(RapsEgen-RapsStand)*E133+(NStand-NEgen)*$E$179</f>
        <v>165.29846979800004</v>
      </c>
      <c r="N82" s="8">
        <f>'Ark1'!N24+(RugEgen-RugStand)*$D133+(NStand-NEgen)*$E$179+('Ark1'!$N24-'Ark1'!$M24)*(ProtEgen-ProtStand)/ProtStand</f>
        <v>165.29846979800004</v>
      </c>
      <c r="O82" s="8">
        <f>'Ark1'!O24+(RugEgen-RugStand)*$D133+(NStand-NEgen)*$E$179+('Ark1'!$N24-'Ark1'!$M24)*(ProtEgen-ProtStand)/ProtStand</f>
        <v>174.38635979799983</v>
      </c>
      <c r="Q82" s="2" t="s">
        <v>165</v>
      </c>
      <c r="R82" s="8">
        <f>'Ark1'!R24+(BygEgen-BygStand)*F133+(NStand-NEgen)*$F$179</f>
        <v>61.8098245352503</v>
      </c>
      <c r="S82" s="8">
        <f>'Ark1'!S24+(RugEgen-RugStand)*$D133+(NStand-NEgen)*$F$179+('Ark1'!$S24-'Ark1'!$R24)*(ProtEgen-ProtStand)/ProtStand</f>
        <v>78.753685572037739</v>
      </c>
      <c r="T82" s="8">
        <f>'Ark1'!T24+(RugEgen-RugStand)*$D133+(NStand-NEgen)*$F$179+('Ark1'!$S24-'Ark1'!$R24)*(ProtEgen-ProtStand)/ProtStand</f>
        <v>89.005097888526961</v>
      </c>
      <c r="V82" s="2" t="s">
        <v>165</v>
      </c>
      <c r="W82" s="8"/>
      <c r="X82" s="8"/>
      <c r="Y82" s="8"/>
    </row>
    <row r="83" spans="2:25" x14ac:dyDescent="0.25">
      <c r="B83" s="2" t="s">
        <v>166</v>
      </c>
      <c r="C83" s="8">
        <f>'Ark1'!C25+(HvedeEgen-HvedeStand)*C134+(NStand-NEgen)*$C$179</f>
        <v>115.41550803125028</v>
      </c>
      <c r="D83" s="8">
        <f>'Ark1'!D25+(HvedeEgen-HvedeStand)*$C134+(NStand-NEgen)*$C$179+('Ark1'!D25-'Ark1'!C25)*(ProtEgen-ProtStand)/ProtStand</f>
        <v>138.67699645898483</v>
      </c>
      <c r="E83" s="8">
        <f>'Ark1'!E25+(HvedeEgen-HvedeStand)*$C134+(NStand-NEgen)*$C$179+('Ark1'!$D25-'Ark1'!$C25)*(ProtEgen-ProtStand)/ProtStand</f>
        <v>154.47129333398516</v>
      </c>
      <c r="G83" s="2" t="s">
        <v>166</v>
      </c>
      <c r="H83" s="8">
        <f>'Ark1'!H25+(RugEgen-RugStand)*D134+(NStand-NEgen)*$D$179</f>
        <v>94.602624577914867</v>
      </c>
      <c r="I83" s="8">
        <f>'Ark1'!I25+(RugEgen-RugStand)*$D134+(NStand-NEgen)*$D$179+('Ark1'!I25-'Ark1'!H25)*(ProtEgen-ProtStand)/ProtStand</f>
        <v>118.59818859621737</v>
      </c>
      <c r="J83" s="8">
        <f>'Ark1'!J25+(RugEgen-RugStand)*$D134+(NStand-NEgen)*$D$179+('Ark1'!$I25-'Ark1'!$H25)*(ProtEgen-ProtStand)/ProtStand</f>
        <v>134.06626338554361</v>
      </c>
      <c r="L83" s="2" t="s">
        <v>166</v>
      </c>
      <c r="M83" s="8">
        <f>'Ark1'!M25+(RapsEgen-RapsStand)*E134+(NStand-NEgen)*$E$179</f>
        <v>190.70883864200005</v>
      </c>
      <c r="N83" s="8">
        <f>'Ark1'!N25+(RugEgen-RugStand)*$D134+(NStand-NEgen)*$E$179+('Ark1'!$N25-'Ark1'!$M25)*(ProtEgen-ProtStand)/ProtStand</f>
        <v>190.70883864200005</v>
      </c>
      <c r="O83" s="8">
        <f>'Ark1'!O25+(RugEgen-RugStand)*$D134+(NStand-NEgen)*$E$179+('Ark1'!$N25-'Ark1'!$M25)*(ProtEgen-ProtStand)/ProtStand</f>
        <v>200.80514864200086</v>
      </c>
      <c r="Q83" s="2" t="s">
        <v>166</v>
      </c>
      <c r="R83" s="8">
        <f>'Ark1'!R25+(BygEgen-BygStand)*F134+(NStand-NEgen)*$F$179</f>
        <v>75.097089865224461</v>
      </c>
      <c r="S83" s="8">
        <f>'Ark1'!S25+(RugEgen-RugStand)*$D134+(NStand-NEgen)*$F$179+('Ark1'!$S25-'Ark1'!$R25)*(ProtEgen-ProtStand)/ProtStand</f>
        <v>90.785847692840889</v>
      </c>
      <c r="T83" s="8">
        <f>'Ark1'!T25+(RugEgen-RugStand)*$D134+(NStand-NEgen)*$F$179+('Ark1'!$S25-'Ark1'!$R25)*(ProtEgen-ProtStand)/ProtStand</f>
        <v>102.31824425933019</v>
      </c>
      <c r="V83" s="2" t="s">
        <v>166</v>
      </c>
      <c r="W83" s="8"/>
      <c r="X83" s="8"/>
      <c r="Y83" s="8"/>
    </row>
    <row r="84" spans="2:25" x14ac:dyDescent="0.25">
      <c r="B84" s="2" t="s">
        <v>167</v>
      </c>
      <c r="C84" s="8">
        <f>'Ark1'!C26+(HvedeEgen-HvedeStand)*C135+(NStand-NEgen)*$C$179</f>
        <v>139.21797771875026</v>
      </c>
      <c r="D84" s="8">
        <f>'Ark1'!D26+(HvedeEgen-HvedeStand)*$C135+(NStand-NEgen)*$C$179+('Ark1'!D26-'Ark1'!C26)*(ProtEgen-ProtStand)/ProtStand</f>
        <v>159.81414368554715</v>
      </c>
      <c r="E84" s="8">
        <f>'Ark1'!E26+(HvedeEgen-HvedeStand)*$C135+(NStand-NEgen)*$C$179+('Ark1'!$D26-'Ark1'!$C26)*(ProtEgen-ProtStand)/ProtStand</f>
        <v>177.79047181054693</v>
      </c>
      <c r="G84" s="2" t="s">
        <v>167</v>
      </c>
      <c r="H84" s="8">
        <f>'Ark1'!H26+(RugEgen-RugStand)*D135+(NStand-NEgen)*$D$179</f>
        <v>111.1532897141642</v>
      </c>
      <c r="I84" s="8">
        <f>'Ark1'!I26+(RugEgen-RugStand)*$D135+(NStand-NEgen)*$D$179+('Ark1'!I26-'Ark1'!H26)*(ProtEgen-ProtStand)/ProtStand</f>
        <v>132.96776674900411</v>
      </c>
      <c r="J84" s="8">
        <f>'Ark1'!J26+(RugEgen-RugStand)*$D135+(NStand-NEgen)*$D$179+('Ark1'!$I26-'Ark1'!$H26)*(ProtEgen-ProtStand)/ProtStand</f>
        <v>150.20167903832953</v>
      </c>
      <c r="L84" s="2" t="s">
        <v>167</v>
      </c>
      <c r="M84" s="8">
        <f>'Ark1'!M26+(RapsEgen-RapsStand)*E135+(NStand-NEgen)*$E$179</f>
        <v>216.11920748600005</v>
      </c>
      <c r="N84" s="8">
        <f>'Ark1'!N26+(RugEgen-RugStand)*$D135+(NStand-NEgen)*$E$179+('Ark1'!$N26-'Ark1'!$M26)*(ProtEgen-ProtStand)/ProtStand</f>
        <v>216.11920748600005</v>
      </c>
      <c r="O84" s="8">
        <f>'Ark1'!O26+(RugEgen-RugStand)*$D135+(NStand-NEgen)*$E$179+('Ark1'!$N26-'Ark1'!$M26)*(ProtEgen-ProtStand)/ProtStand</f>
        <v>227.22393748599916</v>
      </c>
      <c r="Q84" s="2" t="s">
        <v>167</v>
      </c>
      <c r="R84" s="8">
        <f>'Ark1'!R26+(BygEgen-BygStand)*F135+(NStand-NEgen)*$F$179</f>
        <v>88.384355195199078</v>
      </c>
      <c r="S84" s="8">
        <f>'Ark1'!S26+(RugEgen-RugStand)*$D135+(NStand-NEgen)*$F$179+('Ark1'!$S26-'Ark1'!$R26)*(ProtEgen-ProtStand)/ProtStand</f>
        <v>102.64690234245063</v>
      </c>
      <c r="T84" s="8">
        <f>'Ark1'!T26+(RugEgen-RugStand)*$D135+(NStand-NEgen)*$F$179+('Ark1'!$S26-'Ark1'!$R26)*(ProtEgen-ProtStand)/ProtStand</f>
        <v>115.46028315894</v>
      </c>
      <c r="V84" s="2" t="s">
        <v>167</v>
      </c>
      <c r="W84" s="8"/>
      <c r="X84" s="8"/>
      <c r="Y84" s="8"/>
    </row>
    <row r="85" spans="2:25" x14ac:dyDescent="0.25">
      <c r="B85" s="2" t="s">
        <v>168</v>
      </c>
      <c r="C85" s="8">
        <f>'Ark1'!C27+(HvedeEgen-HvedeStand)*C136+(NStand-NEgen)*$C$179</f>
        <v>163.02044740624888</v>
      </c>
      <c r="D85" s="8">
        <f>'Ark1'!D27+(HvedeEgen-HvedeStand)*$C136+(NStand-NEgen)*$C$179+('Ark1'!D27-'Ark1'!C27)*(ProtEgen-ProtStand)/ProtStand</f>
        <v>180.57898183007683</v>
      </c>
      <c r="E85" s="8">
        <f>'Ark1'!E27+(HvedeEgen-HvedeStand)*$C136+(NStand-NEgen)*$C$179+('Ark1'!$D27-'Ark1'!$C27)*(ProtEgen-ProtStand)/ProtStand</f>
        <v>200.73734120507697</v>
      </c>
      <c r="G85" s="2" t="s">
        <v>168</v>
      </c>
      <c r="H85" s="8">
        <f>'Ark1'!H27+(RugEgen-RugStand)*D136+(NStand-NEgen)*$D$179</f>
        <v>127.70395485041445</v>
      </c>
      <c r="I85" s="8">
        <f>'Ark1'!I27+(RugEgen-RugStand)*$D136+(NStand-NEgen)*$D$179+('Ark1'!I27-'Ark1'!H27)*(ProtEgen-ProtStand)/ProtStand</f>
        <v>147.07048270960513</v>
      </c>
      <c r="J85" s="8">
        <f>'Ark1'!J27+(RugEgen-RugStand)*$D136+(NStand-NEgen)*$D$179+('Ark1'!$I27-'Ark1'!$H27)*(ProtEgen-ProtStand)/ProtStand</f>
        <v>166.07023249893109</v>
      </c>
      <c r="L85" s="2" t="s">
        <v>168</v>
      </c>
      <c r="M85" s="8">
        <f>'Ark1'!M27+(RapsEgen-RapsStand)*E136+(NStand-NEgen)*$E$179</f>
        <v>241.52957633000005</v>
      </c>
      <c r="N85" s="8">
        <f>'Ark1'!N27+(RugEgen-RugStand)*$D136+(NStand-NEgen)*$E$179+('Ark1'!$N27-'Ark1'!$M27)*(ProtEgen-ProtStand)/ProtStand</f>
        <v>241.52957633000005</v>
      </c>
      <c r="O85" s="8">
        <f>'Ark1'!O27+(RugEgen-RugStand)*$D136+(NStand-NEgen)*$E$179+('Ark1'!$N27-'Ark1'!$M27)*(ProtEgen-ProtStand)/ProtStand</f>
        <v>253.64272633000019</v>
      </c>
      <c r="Q85" s="2" t="s">
        <v>168</v>
      </c>
      <c r="R85" s="8">
        <f>'Ark1'!R27+(BygEgen-BygStand)*F136+(NStand-NEgen)*$F$179</f>
        <v>101.67162052517369</v>
      </c>
      <c r="S85" s="8">
        <f>'Ark1'!S27+(RugEgen-RugStand)*$D136+(NStand-NEgen)*$F$179+('Ark1'!$S27-'Ark1'!$R27)*(ProtEgen-ProtStand)/ProtStand</f>
        <v>114.33684952086696</v>
      </c>
      <c r="T85" s="8">
        <f>'Ark1'!T27+(RugEgen-RugStand)*$D136+(NStand-NEgen)*$F$179+('Ark1'!$S27-'Ark1'!$R27)*(ProtEgen-ProtStand)/ProtStand</f>
        <v>128.43121458735641</v>
      </c>
      <c r="V85" s="2" t="s">
        <v>168</v>
      </c>
      <c r="W85" s="8"/>
      <c r="X85" s="8"/>
      <c r="Y85" s="8"/>
    </row>
    <row r="86" spans="2:25" x14ac:dyDescent="0.25">
      <c r="B86" s="2" t="s">
        <v>169</v>
      </c>
      <c r="C86" s="8">
        <f>'Ark1'!C28+(HvedeEgen-HvedeStand)*C137+(NStand-NEgen)*$C$179</f>
        <v>186.82291709374931</v>
      </c>
      <c r="D86" s="8">
        <f>'Ark1'!D28+(HvedeEgen-HvedeStand)*$C137+(NStand-NEgen)*$C$179+('Ark1'!D28-'Ark1'!C28)*(ProtEgen-ProtStand)/ProtStand</f>
        <v>200.9715108925775</v>
      </c>
      <c r="E86" s="8">
        <f>'Ark1'!E28+(HvedeEgen-HvedeStand)*$C137+(NStand-NEgen)*$C$179+('Ark1'!$D28-'Ark1'!$C28)*(ProtEgen-ProtStand)/ProtStand</f>
        <v>223.31190151757755</v>
      </c>
      <c r="G86" s="2" t="s">
        <v>169</v>
      </c>
      <c r="H86" s="8">
        <f>'Ark1'!H28+(RugEgen-RugStand)*D137+(NStand-NEgen)*$D$179</f>
        <v>144.25461998666469</v>
      </c>
      <c r="I86" s="8">
        <f>'Ark1'!I28+(RugEgen-RugStand)*$D137+(NStand-NEgen)*$D$179+('Ark1'!I28-'Ark1'!H28)*(ProtEgen-ProtStand)/ProtStand</f>
        <v>160.9063364780186</v>
      </c>
      <c r="J86" s="8">
        <f>'Ark1'!J28+(RugEgen-RugStand)*$D137+(NStand-NEgen)*$D$179+('Ark1'!$I28-'Ark1'!$H28)*(ProtEgen-ProtStand)/ProtStand</f>
        <v>181.67192376734465</v>
      </c>
      <c r="L86" s="2" t="s">
        <v>169</v>
      </c>
      <c r="M86" s="8">
        <f>'Ark1'!M28+(RapsEgen-RapsStand)*E137+(NStand-NEgen)*$E$179</f>
        <v>266.93994517400006</v>
      </c>
      <c r="N86" s="8">
        <f>'Ark1'!N28+(RugEgen-RugStand)*$D137+(NStand-NEgen)*$E$179+('Ark1'!$N28-'Ark1'!$M28)*(ProtEgen-ProtStand)/ProtStand</f>
        <v>266.93994517400006</v>
      </c>
      <c r="O86" s="8">
        <f>'Ark1'!O28+(RugEgen-RugStand)*$D137+(NStand-NEgen)*$E$179+('Ark1'!$N28-'Ark1'!$M28)*(ProtEgen-ProtStand)/ProtStand</f>
        <v>280.06151517400031</v>
      </c>
      <c r="Q86" s="2" t="s">
        <v>169</v>
      </c>
      <c r="R86" s="8">
        <f>'Ark1'!R28+(BygEgen-BygStand)*F137+(NStand-NEgen)*$F$179</f>
        <v>114.95888585514922</v>
      </c>
      <c r="S86" s="8">
        <f>'Ark1'!S28+(RugEgen-RugStand)*$D137+(NStand-NEgen)*$F$179+('Ark1'!$S28-'Ark1'!$R28)*(ProtEgen-ProtStand)/ProtStand</f>
        <v>125.8556892280908</v>
      </c>
      <c r="T86" s="8">
        <f>'Ark1'!T28+(RugEgen-RugStand)*$D137+(NStand-NEgen)*$F$179+('Ark1'!$S28-'Ark1'!$R28)*(ProtEgen-ProtStand)/ProtStand</f>
        <v>141.23103854458031</v>
      </c>
      <c r="V86" s="2" t="s">
        <v>169</v>
      </c>
      <c r="W86" s="8"/>
      <c r="X86" s="8"/>
      <c r="Y86" s="8"/>
    </row>
    <row r="87" spans="2:25" x14ac:dyDescent="0.25">
      <c r="B87" s="2" t="s">
        <v>170</v>
      </c>
      <c r="C87" s="8">
        <f>'Ark1'!C29+(HvedeEgen-HvedeStand)*C138+(NStand-NEgen)*$C$179</f>
        <v>210.62538678125111</v>
      </c>
      <c r="D87" s="8">
        <f>'Ark1'!D29+(HvedeEgen-HvedeStand)*$C138+(NStand-NEgen)*$C$179+('Ark1'!D29-'Ark1'!C29)*(ProtEgen-ProtStand)/ProtStand</f>
        <v>220.9917308730478</v>
      </c>
      <c r="E87" s="8">
        <f>'Ark1'!E29+(HvedeEgen-HvedeStand)*$C138+(NStand-NEgen)*$C$179+('Ark1'!$D29-'Ark1'!$C29)*(ProtEgen-ProtStand)/ProtStand</f>
        <v>245.51415274804776</v>
      </c>
      <c r="G87" s="2" t="s">
        <v>170</v>
      </c>
      <c r="H87" s="8">
        <f>'Ark1'!H29+(RugEgen-RugStand)*D138+(NStand-NEgen)*$D$179</f>
        <v>160.80528512291312</v>
      </c>
      <c r="I87" s="8">
        <f>'Ark1'!I29+(RugEgen-RugStand)*$D138+(NStand-NEgen)*$D$179+('Ark1'!I29-'Ark1'!H29)*(ProtEgen-ProtStand)/ProtStand</f>
        <v>174.47532805424225</v>
      </c>
      <c r="J87" s="8">
        <f>'Ark1'!J29+(RugEgen-RugStand)*$D138+(NStand-NEgen)*$D$179+('Ark1'!$I29-'Ark1'!$H29)*(ProtEgen-ProtStand)/ProtStand</f>
        <v>197.00675284356794</v>
      </c>
      <c r="L87" s="2" t="s">
        <v>170</v>
      </c>
      <c r="M87" s="8">
        <f>'Ark1'!M29+(RapsEgen-RapsStand)*E138+(NStand-NEgen)*$E$179</f>
        <v>292.35031401800097</v>
      </c>
      <c r="N87" s="8">
        <f>'Ark1'!N29+(RugEgen-RugStand)*$D138+(NStand-NEgen)*$E$179+('Ark1'!$N29-'Ark1'!$M29)*(ProtEgen-ProtStand)/ProtStand</f>
        <v>292.35031401800097</v>
      </c>
      <c r="O87" s="8">
        <f>'Ark1'!O29+(RugEgen-RugStand)*$D138+(NStand-NEgen)*$E$179+('Ark1'!$N29-'Ark1'!$M29)*(ProtEgen-ProtStand)/ProtStand</f>
        <v>306.48030401800133</v>
      </c>
      <c r="Q87" s="2" t="s">
        <v>170</v>
      </c>
      <c r="R87" s="8">
        <f>'Ark1'!R29+(BygEgen-BygStand)*F138+(NStand-NEgen)*$F$179</f>
        <v>128.24615118512475</v>
      </c>
      <c r="S87" s="8">
        <f>'Ark1'!S29+(RugEgen-RugStand)*$D138+(NStand-NEgen)*$F$179+('Ark1'!$S29-'Ark1'!$R29)*(ProtEgen-ProtStand)/ProtStand</f>
        <v>137.20342146411986</v>
      </c>
      <c r="T87" s="8">
        <f>'Ark1'!T29+(RugEgen-RugStand)*$D138+(NStand-NEgen)*$F$179+('Ark1'!$S29-'Ark1'!$R29)*(ProtEgen-ProtStand)/ProtStand</f>
        <v>153.85975503060899</v>
      </c>
      <c r="V87" s="2" t="s">
        <v>170</v>
      </c>
      <c r="W87" s="8"/>
      <c r="X87" s="8"/>
      <c r="Y87" s="8"/>
    </row>
    <row r="89" spans="2:25" ht="35" customHeight="1" x14ac:dyDescent="0.25">
      <c r="B89" s="138" t="s">
        <v>178</v>
      </c>
      <c r="C89" s="134" t="s">
        <v>16</v>
      </c>
      <c r="D89" s="135" t="s">
        <v>174</v>
      </c>
      <c r="E89" s="135" t="s">
        <v>175</v>
      </c>
      <c r="G89" s="133" t="s">
        <v>178</v>
      </c>
      <c r="H89" s="134" t="s">
        <v>16</v>
      </c>
      <c r="I89" s="135" t="s">
        <v>174</v>
      </c>
      <c r="J89" s="135" t="s">
        <v>175</v>
      </c>
      <c r="L89" s="133" t="s">
        <v>178</v>
      </c>
      <c r="M89" s="134" t="s">
        <v>16</v>
      </c>
      <c r="N89" s="135" t="s">
        <v>174</v>
      </c>
      <c r="O89" s="135" t="s">
        <v>175</v>
      </c>
      <c r="Q89" s="133" t="s">
        <v>178</v>
      </c>
      <c r="R89" s="134" t="s">
        <v>16</v>
      </c>
      <c r="S89" s="135" t="s">
        <v>174</v>
      </c>
      <c r="T89" s="135" t="s">
        <v>175</v>
      </c>
      <c r="V89" s="133" t="s">
        <v>178</v>
      </c>
      <c r="W89" s="134" t="s">
        <v>16</v>
      </c>
      <c r="X89" s="135" t="s">
        <v>174</v>
      </c>
      <c r="Y89" s="135" t="s">
        <v>175</v>
      </c>
    </row>
    <row r="90" spans="2:25" x14ac:dyDescent="0.25">
      <c r="B90" s="2" t="s">
        <v>161</v>
      </c>
      <c r="C90" s="8">
        <f>'Ark1'!C32+(HvedeEgen-HvedeStand)*C141+(NStand-NEgen)*$C$180</f>
        <v>-3.2981282882501546</v>
      </c>
      <c r="D90" s="8">
        <f>'Ark1'!D32+(HvedeEgen-HvedeStand)*$C141+(NStand-NEgen)*$C$180+('Ark1'!D32-'Ark1'!C32)*(ProtEgen-ProtStand)/ProtStand</f>
        <v>36.991685659859286</v>
      </c>
      <c r="E90" s="8">
        <f>'Ark1'!E32+(HvedeEgen-HvedeStand)*$C141+(NStand-NEgen)*$C$180+('Ark1'!$D32-'Ark1'!$C32)*(ProtEgen-ProtStand)/ProtStand</f>
        <v>42.08197128485881</v>
      </c>
      <c r="G90" s="2" t="s">
        <v>161</v>
      </c>
      <c r="H90" s="8">
        <f>'Ark1'!H32+(RugEgen-RugStand)*D141+(NStand-NEgen)*$D$180</f>
        <v>12.374155372388486</v>
      </c>
      <c r="I90" s="8">
        <f>'Ark1'!I32+(RugEgen-RugStand)*$D141+(NStand-NEgen)*$D$180+('Ark1'!I32-'Ark1'!H32)*(ProtEgen-ProtStand)/ProtStand</f>
        <v>47.676779794501272</v>
      </c>
      <c r="J90" s="8">
        <f>'Ark1'!J32+(RugEgen-RugStand)*$D141+(NStand-NEgen)*$D$180+('Ark1'!$I32-'Ark1'!$H32)*(ProtEgen-ProtStand)/ProtStand</f>
        <v>54.510366207422521</v>
      </c>
      <c r="L90" s="2" t="s">
        <v>161</v>
      </c>
      <c r="M90" s="8">
        <f>'Ark1'!M32+(RugEgen-RugStand)*E141+(NStand-NEgen)*$E$180</f>
        <v>68.379854459426497</v>
      </c>
      <c r="N90" s="8">
        <f>'Ark1'!N32+(RugEgen-RugStand)*$D141+(NStand-NEgen)*$E$180+('Ark1'!N32-'Ark1'!M32)*(ProtEgen-ProtStand)/ProtStand</f>
        <v>68.379854459426497</v>
      </c>
      <c r="O90" s="8">
        <f>'Ark1'!O32+(RugEgen-RugStand)*$D141+(NStand-NEgen)*$E$180+('Ark1'!$N32-'Ark1'!$M32)*(ProtEgen-ProtStand)/ProtStand</f>
        <v>73.776265887998306</v>
      </c>
      <c r="Q90" s="2" t="s">
        <v>161</v>
      </c>
      <c r="R90" s="8">
        <f>'Ark1'!R32+(BygEgen-BygStand)*F141+(NStand-NEgen)*$F$180</f>
        <v>8.2195830342097906</v>
      </c>
      <c r="S90" s="8">
        <f>'Ark1'!S32+(RugEgen-RugStand)*$D141+(NStand-NEgen)*$F$180+('Ark1'!S32-'Ark1'!R32)*(ProtEgen-ProtStand)/ProtStand</f>
        <v>30.91445374032719</v>
      </c>
      <c r="T90" s="8">
        <f>'Ark1'!T32+(RugEgen-RugStand)*$D141+(NStand-NEgen)*$F$180+('Ark1'!$S32-'Ark1'!$R32)*(ProtEgen-ProtStand)/ProtStand</f>
        <v>35.874067248305437</v>
      </c>
      <c r="V90" s="2" t="s">
        <v>161</v>
      </c>
      <c r="W90" s="8"/>
      <c r="X90" s="8"/>
      <c r="Y90" s="8"/>
    </row>
    <row r="91" spans="2:25" x14ac:dyDescent="0.25">
      <c r="B91" s="2" t="s">
        <v>162</v>
      </c>
      <c r="C91" s="8">
        <f>'Ark1'!C33+(HvedeEgen-HvedeStand)*C142+(NStand-NEgen)*$C$180</f>
        <v>22.164490795249549</v>
      </c>
      <c r="D91" s="8">
        <f>'Ark1'!D33+(HvedeEgen-HvedeStand)*$C142+(NStand-NEgen)*$C$180+('Ark1'!D33-'Ark1'!C33)*(ProtEgen-ProtStand)/ProtStand</f>
        <v>61.580811509515115</v>
      </c>
      <c r="E91" s="8">
        <f>'Ark1'!E33+(HvedeEgen-HvedeStand)*$C142+(NStand-NEgen)*$C$180+('Ark1'!$D33-'Ark1'!$C33)*(ProtEgen-ProtStand)/ProtStand</f>
        <v>69.005318384515704</v>
      </c>
      <c r="G91" s="2" t="s">
        <v>162</v>
      </c>
      <c r="H91" s="8">
        <f>'Ark1'!H33+(RugEgen-RugStand)*D142+(NStand-NEgen)*$D$180</f>
        <v>29.790070681836369</v>
      </c>
      <c r="I91" s="8">
        <f>'Ark1'!I33+(RugEgen-RugStand)*$D142+(NStand-NEgen)*$D$180+('Ark1'!I33-'Ark1'!H33)*(ProtEgen-ProtStand)/ProtStand</f>
        <v>64.194403783947564</v>
      </c>
      <c r="J91" s="8">
        <f>'Ark1'!J33+(RugEgen-RugStand)*$D142+(NStand-NEgen)*$D$180+('Ark1'!$I33-'Ark1'!$H33)*(ProtEgen-ProtStand)/ProtStand</f>
        <v>72.886143696869112</v>
      </c>
      <c r="L91" s="2" t="s">
        <v>162</v>
      </c>
      <c r="M91" s="8">
        <f>'Ark1'!M33+(RugEgen-RugStand)*E142+(NStand-NEgen)*$E$180</f>
        <v>96.996946235431096</v>
      </c>
      <c r="N91" s="8">
        <f>'Ark1'!N33+(RugEgen-RugStand)*$D142+(NStand-NEgen)*$E$180+('Ark1'!N33-'Ark1'!M33)*(ProtEgen-ProtStand)/ProtStand</f>
        <v>96.996946235431096</v>
      </c>
      <c r="O91" s="8">
        <f>'Ark1'!O33+(RugEgen-RugStand)*$D142+(NStand-NEgen)*$E$180+('Ark1'!$N33-'Ark1'!$M33)*(ProtEgen-ProtStand)/ProtStand</f>
        <v>103.52903766400232</v>
      </c>
      <c r="Q91" s="2" t="s">
        <v>162</v>
      </c>
      <c r="R91" s="8">
        <f>'Ark1'!R33+(BygEgen-BygStand)*F142+(NStand-NEgen)*$F$180</f>
        <v>20.742276647186372</v>
      </c>
      <c r="S91" s="8">
        <f>'Ark1'!S33+(RugEgen-RugStand)*$D142+(NStand-NEgen)*$F$180+('Ark1'!S33-'Ark1'!R33)*(ProtEgen-ProtStand)/ProtStand</f>
        <v>42.904019906626672</v>
      </c>
      <c r="T91" s="8">
        <f>'Ark1'!T33+(RugEgen-RugStand)*$D142+(NStand-NEgen)*$F$180+('Ark1'!$S33-'Ark1'!$R33)*(ProtEgen-ProtStand)/ProtStand</f>
        <v>49.070907664606239</v>
      </c>
      <c r="V91" s="2" t="s">
        <v>162</v>
      </c>
      <c r="W91" s="8"/>
      <c r="X91" s="8"/>
      <c r="Y91" s="8"/>
    </row>
    <row r="92" spans="2:25" x14ac:dyDescent="0.25">
      <c r="B92" s="2" t="s">
        <v>163</v>
      </c>
      <c r="C92" s="8">
        <f>'Ark1'!C34+(HvedeEgen-HvedeStand)*C143+(NStand-NEgen)*$C$180</f>
        <v>47.627109878750161</v>
      </c>
      <c r="D92" s="8">
        <f>'Ark1'!D34+(HvedeEgen-HvedeStand)*$C143+(NStand-NEgen)*$C$180+('Ark1'!D34-'Ark1'!C34)*(ProtEgen-ProtStand)/ProtStand</f>
        <v>85.758005664078155</v>
      </c>
      <c r="E92" s="8">
        <f>'Ark1'!E34+(HvedeEgen-HvedeStand)*$C143+(NStand-NEgen)*$C$180+('Ark1'!$D34-'Ark1'!$C34)*(ProtEgen-ProtStand)/ProtStand</f>
        <v>95.516733789077989</v>
      </c>
      <c r="G92" s="2" t="s">
        <v>163</v>
      </c>
      <c r="H92" s="8">
        <f>'Ark1'!H34+(RugEgen-RugStand)*D143+(NStand-NEgen)*$D$180</f>
        <v>47.205985991287889</v>
      </c>
      <c r="I92" s="8">
        <f>'Ark1'!I34+(RugEgen-RugStand)*$D143+(NStand-NEgen)*$D$180+('Ark1'!I34-'Ark1'!H34)*(ProtEgen-ProtStand)/ProtStand</f>
        <v>80.423967527061905</v>
      </c>
      <c r="J92" s="8">
        <f>'Ark1'!J34+(RugEgen-RugStand)*$D143+(NStand-NEgen)*$D$180+('Ark1'!$I34-'Ark1'!$H34)*(ProtEgen-ProtStand)/ProtStand</f>
        <v>90.973860939982842</v>
      </c>
      <c r="L92" s="2" t="s">
        <v>163</v>
      </c>
      <c r="M92" s="8">
        <f>'Ark1'!M34+(RugEgen-RugStand)*E143+(NStand-NEgen)*$E$180</f>
        <v>125.61403801142842</v>
      </c>
      <c r="N92" s="8">
        <f>'Ark1'!N34+(RugEgen-RugStand)*$D143+(NStand-NEgen)*$E$180+('Ark1'!N34-'Ark1'!M34)*(ProtEgen-ProtStand)/ProtStand</f>
        <v>125.61403801142842</v>
      </c>
      <c r="O92" s="8">
        <f>'Ark1'!O34+(RugEgen-RugStand)*$D143+(NStand-NEgen)*$E$180+('Ark1'!$N34-'Ark1'!$M34)*(ProtEgen-ProtStand)/ProtStand</f>
        <v>133.28180943999996</v>
      </c>
      <c r="Q92" s="2" t="s">
        <v>163</v>
      </c>
      <c r="R92" s="8">
        <f>'Ark1'!R34+(BygEgen-BygStand)*F143+(NStand-NEgen)*$F$180</f>
        <v>33.264970260162045</v>
      </c>
      <c r="S92" s="8">
        <f>'Ark1'!S34+(RugEgen-RugStand)*$D143+(NStand-NEgen)*$F$180+('Ark1'!S34-'Ark1'!R34)*(ProtEgen-ProtStand)/ProtStand</f>
        <v>54.737032784556504</v>
      </c>
      <c r="T92" s="8">
        <f>'Ark1'!T34+(RugEgen-RugStand)*$D143+(NStand-NEgen)*$F$180+('Ark1'!$S34-'Ark1'!$R34)*(ProtEgen-ProtStand)/ProtStand</f>
        <v>62.111194792534661</v>
      </c>
      <c r="V92" s="2" t="s">
        <v>163</v>
      </c>
      <c r="W92" s="8"/>
      <c r="X92" s="8"/>
      <c r="Y92" s="8"/>
    </row>
    <row r="93" spans="2:25" x14ac:dyDescent="0.25">
      <c r="B93" s="2" t="s">
        <v>164</v>
      </c>
      <c r="C93" s="8">
        <f>'Ark1'!C35+(HvedeEgen-HvedeStand)*C144+(NStand-NEgen)*$C$180</f>
        <v>73.089728962248955</v>
      </c>
      <c r="D93" s="8">
        <f>'Ark1'!D35+(HvedeEgen-HvedeStand)*$C144+(NStand-NEgen)*$C$180+('Ark1'!D35-'Ark1'!C35)*(ProtEgen-ProtStand)/ProtStand</f>
        <v>109.52326812354568</v>
      </c>
      <c r="E93" s="8">
        <f>'Ark1'!E35+(HvedeEgen-HvedeStand)*$C144+(NStand-NEgen)*$C$180+('Ark1'!$D35-'Ark1'!$C35)*(ProtEgen-ProtStand)/ProtStand</f>
        <v>121.61621749854567</v>
      </c>
      <c r="G93" s="2" t="s">
        <v>164</v>
      </c>
      <c r="H93" s="8">
        <f>'Ark1'!H35+(RugEgen-RugStand)*D144+(NStand-NEgen)*$D$180</f>
        <v>64.6219013007385</v>
      </c>
      <c r="I93" s="8">
        <f>'Ark1'!I35+(RugEgen-RugStand)*$D144+(NStand-NEgen)*$D$180+('Ark1'!I35-'Ark1'!H35)*(ProtEgen-ProtStand)/ProtStand</f>
        <v>96.365471023837017</v>
      </c>
      <c r="J93" s="8">
        <f>'Ark1'!J35+(RugEgen-RugStand)*$D144+(NStand-NEgen)*$D$180+('Ark1'!$I35-'Ark1'!$H35)*(ProtEgen-ProtStand)/ProtStand</f>
        <v>108.77351793675825</v>
      </c>
      <c r="L93" s="2" t="s">
        <v>164</v>
      </c>
      <c r="M93" s="8">
        <f>'Ark1'!M35+(RugEgen-RugStand)*E144+(NStand-NEgen)*$E$180</f>
        <v>154.23112978742938</v>
      </c>
      <c r="N93" s="8">
        <f>'Ark1'!N35+(RugEgen-RugStand)*$D144+(NStand-NEgen)*$E$180+('Ark1'!N35-'Ark1'!M35)*(ProtEgen-ProtStand)/ProtStand</f>
        <v>154.23112978742938</v>
      </c>
      <c r="O93" s="8">
        <f>'Ark1'!O35+(RugEgen-RugStand)*$D144+(NStand-NEgen)*$E$180+('Ark1'!$N35-'Ark1'!$M35)*(ProtEgen-ProtStand)/ProtStand</f>
        <v>163.03458121600033</v>
      </c>
      <c r="Q93" s="2" t="s">
        <v>164</v>
      </c>
      <c r="R93" s="8">
        <f>'Ark1'!R35+(BygEgen-BygStand)*F144+(NStand-NEgen)*$F$180</f>
        <v>45.787663873134989</v>
      </c>
      <c r="S93" s="8">
        <f>'Ark1'!S35+(RugEgen-RugStand)*$D144+(NStand-NEgen)*$F$180+('Ark1'!S35-'Ark1'!R35)*(ProtEgen-ProtStand)/ProtStand</f>
        <v>66.413492374114867</v>
      </c>
      <c r="T93" s="8">
        <f>'Ark1'!T35+(RugEgen-RugStand)*$D144+(NStand-NEgen)*$F$180+('Ark1'!$S35-'Ark1'!$R35)*(ProtEgen-ProtStand)/ProtStand</f>
        <v>74.994928632093433</v>
      </c>
      <c r="V93" s="2" t="s">
        <v>164</v>
      </c>
      <c r="W93" s="8"/>
      <c r="X93" s="8"/>
      <c r="Y93" s="8"/>
    </row>
    <row r="94" spans="2:25" x14ac:dyDescent="0.25">
      <c r="B94" s="2" t="s">
        <v>165</v>
      </c>
      <c r="C94" s="8">
        <f>'Ark1'!C36+(HvedeEgen-HvedeStand)*C145+(NStand-NEgen)*$C$180</f>
        <v>98.552348045752296</v>
      </c>
      <c r="D94" s="8">
        <f>'Ark1'!D36+(HvedeEgen-HvedeStand)*$C145+(NStand-NEgen)*$C$180+('Ark1'!D36-'Ark1'!C36)*(ProtEgen-ProtStand)/ProtStand</f>
        <v>132.87659888792405</v>
      </c>
      <c r="E94" s="8">
        <f>'Ark1'!E36+(HvedeEgen-HvedeStand)*$C145+(NStand-NEgen)*$C$180+('Ark1'!$D36-'Ark1'!$C36)*(ProtEgen-ProtStand)/ProtStand</f>
        <v>147.30376951292419</v>
      </c>
      <c r="G94" s="2" t="s">
        <v>165</v>
      </c>
      <c r="H94" s="8">
        <f>'Ark1'!H36+(RugEgen-RugStand)*D145+(NStand-NEgen)*$D$180</f>
        <v>82.037816610187292</v>
      </c>
      <c r="I94" s="8">
        <f>'Ark1'!I36+(RugEgen-RugStand)*$D145+(NStand-NEgen)*$D$180+('Ark1'!I36-'Ark1'!H36)*(ProtEgen-ProtStand)/ProtStand</f>
        <v>112.0189142742729</v>
      </c>
      <c r="J94" s="8">
        <f>'Ark1'!J36+(RugEgen-RugStand)*$D145+(NStand-NEgen)*$D$180+('Ark1'!$I36-'Ark1'!$H36)*(ProtEgen-ProtStand)/ProtStand</f>
        <v>126.28511468719444</v>
      </c>
      <c r="L94" s="2" t="s">
        <v>165</v>
      </c>
      <c r="M94" s="8">
        <f>'Ark1'!M36+(RugEgen-RugStand)*E145+(NStand-NEgen)*$E$180</f>
        <v>182.84822156342761</v>
      </c>
      <c r="N94" s="8">
        <f>'Ark1'!N36+(RugEgen-RugStand)*$D145+(NStand-NEgen)*$E$180+('Ark1'!N36-'Ark1'!M36)*(ProtEgen-ProtStand)/ProtStand</f>
        <v>182.84822156342761</v>
      </c>
      <c r="O94" s="8">
        <f>'Ark1'!O36+(RugEgen-RugStand)*$D145+(NStand-NEgen)*$E$180+('Ark1'!$N36-'Ark1'!$M36)*(ProtEgen-ProtStand)/ProtStand</f>
        <v>192.78735299199889</v>
      </c>
      <c r="Q94" s="2" t="s">
        <v>165</v>
      </c>
      <c r="R94" s="8">
        <f>'Ark1'!R36+(BygEgen-BygStand)*F145+(NStand-NEgen)*$F$180</f>
        <v>58.310357486110661</v>
      </c>
      <c r="S94" s="8">
        <f>'Ark1'!S36+(RugEgen-RugStand)*$D145+(NStand-NEgen)*$F$180+('Ark1'!S36-'Ark1'!R36)*(ProtEgen-ProtStand)/ProtStand</f>
        <v>77.933398675306307</v>
      </c>
      <c r="T94" s="8">
        <f>'Ark1'!T36+(RugEgen-RugStand)*$D145+(NStand-NEgen)*$F$180+('Ark1'!$S36-'Ark1'!$R36)*(ProtEgen-ProtStand)/ProtStand</f>
        <v>87.722109183285284</v>
      </c>
      <c r="V94" s="2" t="s">
        <v>165</v>
      </c>
      <c r="W94" s="8"/>
      <c r="X94" s="8"/>
      <c r="Y94" s="8"/>
    </row>
    <row r="95" spans="2:25" x14ac:dyDescent="0.25">
      <c r="B95" s="2" t="s">
        <v>166</v>
      </c>
      <c r="C95" s="8">
        <f>'Ark1'!C37+(HvedeEgen-HvedeStand)*C146+(NStand-NEgen)*$C$180</f>
        <v>124.01496712924836</v>
      </c>
      <c r="D95" s="8">
        <f>'Ark1'!D37+(HvedeEgen-HvedeStand)*$C146+(NStand-NEgen)*$C$180+('Ark1'!D37-'Ark1'!C37)*(ProtEgen-ProtStand)/ProtStand</f>
        <v>155.81799795720235</v>
      </c>
      <c r="E95" s="8">
        <f>'Ark1'!E37+(HvedeEgen-HvedeStand)*$C146+(NStand-NEgen)*$C$180+('Ark1'!$D37-'Ark1'!$C37)*(ProtEgen-ProtStand)/ProtStand</f>
        <v>172.57938983220265</v>
      </c>
      <c r="G95" s="2" t="s">
        <v>166</v>
      </c>
      <c r="H95" s="8">
        <f>'Ark1'!H37+(RugEgen-RugStand)*D146+(NStand-NEgen)*$D$180</f>
        <v>99.453731919639722</v>
      </c>
      <c r="I95" s="8">
        <f>'Ark1'!I37+(RugEgen-RugStand)*$D146+(NStand-NEgen)*$D$180+('Ark1'!I37-'Ark1'!H37)*(ProtEgen-ProtStand)/ProtStand</f>
        <v>127.38429727837502</v>
      </c>
      <c r="J95" s="8">
        <f>'Ark1'!J37+(RugEgen-RugStand)*$D146+(NStand-NEgen)*$D$180+('Ark1'!$I37-'Ark1'!$H37)*(ProtEgen-ProtStand)/ProtStand</f>
        <v>143.50865119129685</v>
      </c>
      <c r="L95" s="2" t="s">
        <v>166</v>
      </c>
      <c r="M95" s="8">
        <f>'Ark1'!M37+(RugEgen-RugStand)*E146+(NStand-NEgen)*$E$180</f>
        <v>211.46531333942858</v>
      </c>
      <c r="N95" s="8">
        <f>'Ark1'!N37+(RugEgen-RugStand)*$D146+(NStand-NEgen)*$E$180+('Ark1'!N37-'Ark1'!M37)*(ProtEgen-ProtStand)/ProtStand</f>
        <v>211.46531333942858</v>
      </c>
      <c r="O95" s="8">
        <f>'Ark1'!O37+(RugEgen-RugStand)*$D146+(NStand-NEgen)*$E$180+('Ark1'!$N37-'Ark1'!$M37)*(ProtEgen-ProtStand)/ProtStand</f>
        <v>222.54012476800017</v>
      </c>
      <c r="Q95" s="2" t="s">
        <v>166</v>
      </c>
      <c r="R95" s="8">
        <f>'Ark1'!R37+(BygEgen-BygStand)*F146+(NStand-NEgen)*$F$180</f>
        <v>70.833051099085424</v>
      </c>
      <c r="S95" s="8">
        <f>'Ark1'!S37+(RugEgen-RugStand)*$D146+(NStand-NEgen)*$F$180+('Ark1'!S37-'Ark1'!R37)*(ProtEgen-ProtStand)/ProtStand</f>
        <v>89.296751688129916</v>
      </c>
      <c r="T95" s="8">
        <f>'Ark1'!T37+(RugEgen-RugStand)*$D146+(NStand-NEgen)*$F$180+('Ark1'!$S37-'Ark1'!$R37)*(ProtEgen-ProtStand)/ProtStand</f>
        <v>100.29273644610839</v>
      </c>
      <c r="V95" s="2" t="s">
        <v>166</v>
      </c>
      <c r="W95" s="8"/>
      <c r="X95" s="8"/>
      <c r="Y95" s="8"/>
    </row>
    <row r="96" spans="2:25" x14ac:dyDescent="0.25">
      <c r="B96" s="2" t="s">
        <v>167</v>
      </c>
      <c r="C96" s="8">
        <f>'Ark1'!C38+(HvedeEgen-HvedeStand)*C147+(NStand-NEgen)*$C$180</f>
        <v>149.47758621275079</v>
      </c>
      <c r="D96" s="8">
        <f>'Ark1'!D38+(HvedeEgen-HvedeStand)*$C147+(NStand-NEgen)*$C$180+('Ark1'!D38-'Ark1'!C38)*(ProtEgen-ProtStand)/ProtStand</f>
        <v>178.34746533139059</v>
      </c>
      <c r="E96" s="8">
        <f>'Ark1'!E38+(HvedeEgen-HvedeStand)*$C147+(NStand-NEgen)*$C$180+('Ark1'!$D38-'Ark1'!$C38)*(ProtEgen-ProtStand)/ProtStand</f>
        <v>197.44307845639014</v>
      </c>
      <c r="G96" s="2" t="s">
        <v>167</v>
      </c>
      <c r="H96" s="8">
        <f>'Ark1'!H38+(RugEgen-RugStand)*D147+(NStand-NEgen)*$D$180</f>
        <v>116.8696472290867</v>
      </c>
      <c r="I96" s="8">
        <f>'Ark1'!I38+(RugEgen-RugStand)*$D147+(NStand-NEgen)*$D$180+('Ark1'!I38-'Ark1'!H38)*(ProtEgen-ProtStand)/ProtStand</f>
        <v>142.46162003613426</v>
      </c>
      <c r="J96" s="8">
        <f>'Ark1'!J38+(RugEgen-RugStand)*$D147+(NStand-NEgen)*$D$180+('Ark1'!$I38-'Ark1'!$H38)*(ProtEgen-ProtStand)/ProtStand</f>
        <v>160.44412744905549</v>
      </c>
      <c r="L96" s="2" t="s">
        <v>167</v>
      </c>
      <c r="M96" s="8">
        <f>'Ark1'!M38+(RugEgen-RugStand)*E147+(NStand-NEgen)*$E$180</f>
        <v>240.08240511542863</v>
      </c>
      <c r="N96" s="8">
        <f>'Ark1'!N38+(RugEgen-RugStand)*$D147+(NStand-NEgen)*$E$180+('Ark1'!N38-'Ark1'!M38)*(ProtEgen-ProtStand)/ProtStand</f>
        <v>240.08240511542863</v>
      </c>
      <c r="O96" s="8">
        <f>'Ark1'!O38+(RugEgen-RugStand)*$D147+(NStand-NEgen)*$E$180+('Ark1'!$N38-'Ark1'!$M38)*(ProtEgen-ProtStand)/ProtStand</f>
        <v>252.29289654400054</v>
      </c>
      <c r="Q96" s="2" t="s">
        <v>167</v>
      </c>
      <c r="R96" s="8">
        <f>'Ark1'!R38+(BygEgen-BygStand)*F147+(NStand-NEgen)*$F$180</f>
        <v>83.355744712062005</v>
      </c>
      <c r="S96" s="8">
        <f>'Ark1'!S38+(RugEgen-RugStand)*$D147+(NStand-NEgen)*$F$180+('Ark1'!S38-'Ark1'!R38)*(ProtEgen-ProtStand)/ProtStand</f>
        <v>100.50355141258478</v>
      </c>
      <c r="T96" s="8">
        <f>'Ark1'!T38+(RugEgen-RugStand)*$D147+(NStand-NEgen)*$F$180+('Ark1'!$S38-'Ark1'!$R38)*(ProtEgen-ProtStand)/ProtStand</f>
        <v>112.70681042056367</v>
      </c>
      <c r="V96" s="2" t="s">
        <v>167</v>
      </c>
      <c r="W96" s="8"/>
      <c r="X96" s="8"/>
      <c r="Y96" s="8"/>
    </row>
    <row r="97" spans="2:25" x14ac:dyDescent="0.25">
      <c r="B97" s="2" t="s">
        <v>168</v>
      </c>
      <c r="C97" s="8">
        <f>'Ark1'!C39+(HvedeEgen-HvedeStand)*C148+(NStand-NEgen)*$C$180</f>
        <v>174.94020529624868</v>
      </c>
      <c r="D97" s="8">
        <f>'Ark1'!D39+(HvedeEgen-HvedeStand)*$C148+(NStand-NEgen)*$C$180+('Ark1'!D39-'Ark1'!C39)*(ProtEgen-ProtStand)/ProtStand</f>
        <v>200.46500101048332</v>
      </c>
      <c r="E97" s="8">
        <f>'Ark1'!E39+(HvedeEgen-HvedeStand)*$C148+(NStand-NEgen)*$C$180+('Ark1'!$D39-'Ark1'!$C39)*(ProtEgen-ProtStand)/ProtStand</f>
        <v>221.89483538548302</v>
      </c>
      <c r="G97" s="2" t="s">
        <v>168</v>
      </c>
      <c r="H97" s="8">
        <f>'Ark1'!H39+(RugEgen-RugStand)*D148+(NStand-NEgen)*$D$180</f>
        <v>134.28556253853731</v>
      </c>
      <c r="I97" s="8">
        <f>'Ark1'!I39+(RugEgen-RugStand)*$D148+(NStand-NEgen)*$D$180+('Ark1'!I39-'Ark1'!H39)*(ProtEgen-ProtStand)/ProtStand</f>
        <v>157.25088254755883</v>
      </c>
      <c r="J97" s="8">
        <f>'Ark1'!J39+(RugEgen-RugStand)*$D148+(NStand-NEgen)*$D$180+('Ark1'!$I39-'Ark1'!$H39)*(ProtEgen-ProtStand)/ProtStand</f>
        <v>177.09154346048035</v>
      </c>
      <c r="L97" s="2" t="s">
        <v>168</v>
      </c>
      <c r="M97" s="8">
        <f>'Ark1'!M39+(RugEgen-RugStand)*E148+(NStand-NEgen)*$E$180</f>
        <v>268.69949689142777</v>
      </c>
      <c r="N97" s="8">
        <f>'Ark1'!N39+(RugEgen-RugStand)*$D148+(NStand-NEgen)*$E$180+('Ark1'!N39-'Ark1'!M39)*(ProtEgen-ProtStand)/ProtStand</f>
        <v>268.69949689142777</v>
      </c>
      <c r="O97" s="8">
        <f>'Ark1'!O39+(RugEgen-RugStand)*$D148+(NStand-NEgen)*$E$180+('Ark1'!$N39-'Ark1'!$M39)*(ProtEgen-ProtStand)/ProtStand</f>
        <v>282.04566831999909</v>
      </c>
      <c r="Q97" s="2" t="s">
        <v>168</v>
      </c>
      <c r="R97" s="8">
        <f>'Ark1'!R39+(BygEgen-BygStand)*F148+(NStand-NEgen)*$F$180</f>
        <v>95.878438325034949</v>
      </c>
      <c r="S97" s="8">
        <f>'Ark1'!S39+(RugEgen-RugStand)*$D148+(NStand-NEgen)*$F$180+('Ark1'!S39-'Ark1'!R39)*(ProtEgen-ProtStand)/ProtStand</f>
        <v>111.55379784866727</v>
      </c>
      <c r="T97" s="8">
        <f>'Ark1'!T39+(RugEgen-RugStand)*$D148+(NStand-NEgen)*$F$180+('Ark1'!$S39-'Ark1'!$R39)*(ProtEgen-ProtStand)/ProtStand</f>
        <v>124.96433110664657</v>
      </c>
      <c r="V97" s="2" t="s">
        <v>168</v>
      </c>
      <c r="W97" s="8"/>
      <c r="X97" s="8"/>
      <c r="Y97" s="8"/>
    </row>
    <row r="98" spans="2:25" x14ac:dyDescent="0.25">
      <c r="B98" s="2" t="s">
        <v>169</v>
      </c>
      <c r="C98" s="8">
        <f>'Ark1'!C40+(HvedeEgen-HvedeStand)*C149+(NStand-NEgen)*$C$180</f>
        <v>200.40282437975111</v>
      </c>
      <c r="D98" s="8">
        <f>'Ark1'!D40+(HvedeEgen-HvedeStand)*$C149+(NStand-NEgen)*$C$180+('Ark1'!D40-'Ark1'!C40)*(ProtEgen-ProtStand)/ProtStand</f>
        <v>222.17060499448598</v>
      </c>
      <c r="E98" s="8">
        <f>'Ark1'!E40+(HvedeEgen-HvedeStand)*$C149+(NStand-NEgen)*$C$180+('Ark1'!$D40-'Ark1'!$C40)*(ProtEgen-ProtStand)/ProtStand</f>
        <v>245.93466061948584</v>
      </c>
      <c r="G98" s="2" t="s">
        <v>169</v>
      </c>
      <c r="H98" s="8">
        <f>'Ark1'!H40+(RugEgen-RugStand)*D149+(NStand-NEgen)*$D$180</f>
        <v>151.70147784798792</v>
      </c>
      <c r="I98" s="8">
        <f>'Ark1'!I40+(RugEgen-RugStand)*$D149+(NStand-NEgen)*$D$180+('Ark1'!I40-'Ark1'!H40)*(ProtEgen-ProtStand)/ProtStand</f>
        <v>171.7520848126469</v>
      </c>
      <c r="J98" s="8">
        <f>'Ark1'!J40+(RugEgen-RugStand)*$D149+(NStand-NEgen)*$D$180+('Ark1'!$I40-'Ark1'!$H40)*(ProtEgen-ProtStand)/ProtStand</f>
        <v>193.45089922556781</v>
      </c>
      <c r="L98" s="2" t="s">
        <v>169</v>
      </c>
      <c r="M98" s="8">
        <f>'Ark1'!M40+(RugEgen-RugStand)*E149+(NStand-NEgen)*$E$180</f>
        <v>297.31658866743237</v>
      </c>
      <c r="N98" s="8">
        <f>'Ark1'!N40+(RugEgen-RugStand)*$D149+(NStand-NEgen)*$E$180+('Ark1'!N40-'Ark1'!M40)*(ProtEgen-ProtStand)/ProtStand</f>
        <v>297.31658866743237</v>
      </c>
      <c r="O98" s="8">
        <f>'Ark1'!O40+(RugEgen-RugStand)*$D149+(NStand-NEgen)*$E$180+('Ark1'!$N40-'Ark1'!$M40)*(ProtEgen-ProtStand)/ProtStand</f>
        <v>311.79844009600401</v>
      </c>
      <c r="Q98" s="2" t="s">
        <v>169</v>
      </c>
      <c r="R98" s="8">
        <f>'Ark1'!R40+(BygEgen-BygStand)*F149+(NStand-NEgen)*$F$180</f>
        <v>108.40113193801062</v>
      </c>
      <c r="S98" s="8">
        <f>'Ark1'!S40+(RugEgen-RugStand)*$D149+(NStand-NEgen)*$F$180+('Ark1'!S40-'Ark1'!R40)*(ProtEgen-ProtStand)/ProtStand</f>
        <v>122.44749099638557</v>
      </c>
      <c r="T98" s="8">
        <f>'Ark1'!T40+(RugEgen-RugStand)*$D149+(NStand-NEgen)*$F$180+('Ark1'!$S40-'Ark1'!$R40)*(ProtEgen-ProtStand)/ProtStand</f>
        <v>137.06529850436391</v>
      </c>
      <c r="V98" s="2" t="s">
        <v>169</v>
      </c>
      <c r="W98" s="8"/>
      <c r="X98" s="8"/>
      <c r="Y98" s="8"/>
    </row>
    <row r="99" spans="2:25" x14ac:dyDescent="0.25">
      <c r="B99" s="2" t="s">
        <v>170</v>
      </c>
      <c r="C99" s="8">
        <f>'Ark1'!C41+(HvedeEgen-HvedeStand)*C150+(NStand-NEgen)*$C$180</f>
        <v>225.8654434632499</v>
      </c>
      <c r="D99" s="8">
        <f>'Ark1'!D41+(HvedeEgen-HvedeStand)*$C150+(NStand-NEgen)*$C$180+('Ark1'!D41-'Ark1'!C41)*(ProtEgen-ProtStand)/ProtStand</f>
        <v>243.4642772833904</v>
      </c>
      <c r="E99" s="8">
        <f>'Ark1'!E41+(HvedeEgen-HvedeStand)*$C150+(NStand-NEgen)*$C$180+('Ark1'!$D41-'Ark1'!$C41)*(ProtEgen-ProtStand)/ProtStand</f>
        <v>269.56255415839041</v>
      </c>
      <c r="G99" s="2" t="s">
        <v>170</v>
      </c>
      <c r="H99" s="8">
        <f>'Ark1'!H41+(RugEgen-RugStand)*D150+(NStand-NEgen)*$D$180</f>
        <v>169.11739315743762</v>
      </c>
      <c r="I99" s="8">
        <f>'Ark1'!I41+(RugEgen-RugStand)*$D150+(NStand-NEgen)*$D$180+('Ark1'!I41-'Ark1'!H41)*(ProtEgen-ProtStand)/ProtStand</f>
        <v>185.96522683139574</v>
      </c>
      <c r="J99" s="8">
        <f>'Ark1'!J41+(RugEgen-RugStand)*$D150+(NStand-NEgen)*$D$180+('Ark1'!$I41-'Ark1'!$H41)*(ProtEgen-ProtStand)/ProtStand</f>
        <v>209.52219474431695</v>
      </c>
      <c r="L99" s="2" t="s">
        <v>170</v>
      </c>
      <c r="M99" s="8">
        <f>'Ark1'!M41+(RugEgen-RugStand)*E150+(NStand-NEgen)*$E$180</f>
        <v>325.93368044342424</v>
      </c>
      <c r="N99" s="8">
        <f>'Ark1'!N41+(RugEgen-RugStand)*$D150+(NStand-NEgen)*$E$180+('Ark1'!N41-'Ark1'!M41)*(ProtEgen-ProtStand)/ProtStand</f>
        <v>325.93368044342424</v>
      </c>
      <c r="O99" s="8">
        <f>'Ark1'!O41+(RugEgen-RugStand)*$D150+(NStand-NEgen)*$E$180+('Ark1'!$N41-'Ark1'!$M41)*(ProtEgen-ProtStand)/ProtStand</f>
        <v>341.55121187199529</v>
      </c>
      <c r="Q99" s="2" t="s">
        <v>170</v>
      </c>
      <c r="R99" s="8">
        <f>'Ark1'!R41+(BygEgen-BygStand)*F150+(NStand-NEgen)*$F$180</f>
        <v>120.9238255509872</v>
      </c>
      <c r="S99" s="8">
        <f>'Ark1'!S41+(RugEgen-RugStand)*$D150+(NStand-NEgen)*$F$180+('Ark1'!S41-'Ark1'!R41)*(ProtEgen-ProtStand)/ProtStand</f>
        <v>133.18463085573467</v>
      </c>
      <c r="T99" s="8">
        <f>'Ark1'!T41+(RugEgen-RugStand)*$D150+(NStand-NEgen)*$F$180+('Ark1'!$S41-'Ark1'!$R41)*(ProtEgen-ProtStand)/ProtStand</f>
        <v>149.00971261371342</v>
      </c>
      <c r="V99" s="2" t="s">
        <v>170</v>
      </c>
      <c r="W99" s="8"/>
      <c r="X99" s="8"/>
      <c r="Y99" s="8"/>
    </row>
    <row r="101" spans="2:25" ht="35" customHeight="1" x14ac:dyDescent="0.25">
      <c r="B101" s="138" t="s">
        <v>177</v>
      </c>
      <c r="C101" s="134" t="s">
        <v>16</v>
      </c>
      <c r="D101" s="135" t="s">
        <v>174</v>
      </c>
      <c r="E101" s="135" t="s">
        <v>175</v>
      </c>
      <c r="G101" s="133" t="s">
        <v>177</v>
      </c>
      <c r="H101" s="134" t="s">
        <v>16</v>
      </c>
      <c r="I101" s="135" t="s">
        <v>174</v>
      </c>
      <c r="J101" s="135" t="s">
        <v>175</v>
      </c>
      <c r="L101" s="133" t="s">
        <v>177</v>
      </c>
      <c r="M101" s="134" t="s">
        <v>16</v>
      </c>
      <c r="N101" s="135" t="s">
        <v>174</v>
      </c>
      <c r="O101" s="135" t="s">
        <v>175</v>
      </c>
      <c r="Q101" s="133" t="s">
        <v>177</v>
      </c>
      <c r="R101" s="134" t="s">
        <v>16</v>
      </c>
      <c r="S101" s="135" t="s">
        <v>174</v>
      </c>
      <c r="T101" s="135" t="s">
        <v>175</v>
      </c>
      <c r="V101" s="133" t="s">
        <v>177</v>
      </c>
      <c r="W101" s="134" t="s">
        <v>16</v>
      </c>
      <c r="X101" s="135" t="s">
        <v>174</v>
      </c>
      <c r="Y101" s="135" t="s">
        <v>175</v>
      </c>
    </row>
    <row r="102" spans="2:25" x14ac:dyDescent="0.25">
      <c r="B102" s="2" t="s">
        <v>161</v>
      </c>
      <c r="C102" s="8">
        <f>'Ark1'!C44+(HvedeEgen-HvedeStand)*C153+(NStand-NEgen)*$C$181</f>
        <v>-1.5341800182504812</v>
      </c>
      <c r="D102" s="8">
        <f>'Ark1'!D44+(HvedeEgen-HvedeStand)*$C153+(NStand-NEgen)*$C$181+('Ark1'!D44-'Ark1'!C44)*(ProtEgen-ProtStand)/ProtStand</f>
        <v>57.82641412504563</v>
      </c>
      <c r="E102" s="8">
        <f>'Ark1'!E44+(HvedeEgen-HvedeStand)*$C153+(NStand-NEgen)*$C$181+('Ark1'!$D44-'Ark1'!$C44)*(ProtEgen-ProtStand)/ProtStand</f>
        <v>63.912624750046234</v>
      </c>
      <c r="G102" s="2" t="s">
        <v>161</v>
      </c>
      <c r="H102" s="8">
        <f>'Ark1'!H44+(RugEgen-RugStand)*D153+(NStand-NEgen)*$D$181</f>
        <v>14.156061644713191</v>
      </c>
      <c r="I102" s="8">
        <f>'Ark1'!I44+(RugEgen-RugStand)*$D153+(NStand-NEgen)*$D$181+('Ark1'!I44-'Ark1'!H44)*(ProtEgen-ProtStand)/ProtStand</f>
        <v>62.930238195126549</v>
      </c>
      <c r="J102" s="8">
        <f>'Ark1'!J44+(RugEgen-RugStand)*$D153+(NStand-NEgen)*$D$181+('Ark1'!$I44-'Ark1'!$H44)*(ProtEgen-ProtStand)/ProtStand</f>
        <v>70.404718509733357</v>
      </c>
      <c r="L102" s="2" t="s">
        <v>161</v>
      </c>
      <c r="M102" s="8">
        <f>'Ark1'!M44+(RugEgen-RugStand)*E153+(NStand-NEgen)*$E$181</f>
        <v>71.581344037715098</v>
      </c>
      <c r="N102" s="8">
        <f>'Ark1'!N44+(RugEgen-RugStand)*$D153+(NStand-NEgen)*$E$181+('Ark1'!N44-'Ark1'!M44)*(ProtEgen-ProtStand)/ProtStand</f>
        <v>71.581344037715098</v>
      </c>
      <c r="O102" s="8">
        <f>'Ark1'!O44+(RugEgen-RugStand)*$D153+(NStand-NEgen)*$E$181+('Ark1'!$N44-'Ark1'!$M44)*(ProtEgen-ProtStand)/ProtStand</f>
        <v>77.207989752001595</v>
      </c>
      <c r="Q102" s="2" t="s">
        <v>161</v>
      </c>
      <c r="R102" s="8">
        <f>'Ark1'!R44+(BygEgen-BygStand)*F153+(NStand-NEgen)*$F$181</f>
        <v>9.1132703848888923</v>
      </c>
      <c r="S102" s="8">
        <f>'Ark1'!S44+(RugEgen-RugStand)*$D153+(NStand-NEgen)*$F$181+('Ark1'!S44-'Ark1'!R44)*(ProtEgen-ProtStand)/ProtStand</f>
        <v>38.656811520236261</v>
      </c>
      <c r="T102" s="8">
        <f>'Ark1'!T44+(RugEgen-RugStand)*$D153+(NStand-NEgen)*$F$181+('Ark1'!$S44-'Ark1'!$R44)*(ProtEgen-ProtStand)/ProtStand</f>
        <v>43.953240645236292</v>
      </c>
      <c r="V102" s="2" t="s">
        <v>161</v>
      </c>
      <c r="W102" s="8"/>
      <c r="X102" s="8"/>
      <c r="Y102" s="8"/>
    </row>
    <row r="103" spans="2:25" x14ac:dyDescent="0.25">
      <c r="B103" s="2" t="s">
        <v>162</v>
      </c>
      <c r="C103" s="8">
        <f>'Ark1'!C45+(HvedeEgen-HvedeStand)*C154+(NStand-NEgen)*$C$181</f>
        <v>32.415719685250224</v>
      </c>
      <c r="D103" s="8">
        <f>'Ark1'!D45+(HvedeEgen-HvedeStand)*$C154+(NStand-NEgen)*$C$181+('Ark1'!D45-'Ark1'!C45)*(ProtEgen-ProtStand)/ProtStand</f>
        <v>90.526700065829573</v>
      </c>
      <c r="E103" s="8">
        <f>'Ark1'!E45+(HvedeEgen-HvedeStand)*$C154+(NStand-NEgen)*$C$181+('Ark1'!$D45-'Ark1'!$C45)*(ProtEgen-ProtStand)/ProtStand</f>
        <v>99.725181940828406</v>
      </c>
      <c r="G103" s="2" t="s">
        <v>162</v>
      </c>
      <c r="H103" s="8">
        <f>'Ark1'!H45+(RugEgen-RugStand)*D154+(NStand-NEgen)*$D$181</f>
        <v>34.536285469514041</v>
      </c>
      <c r="I103" s="8">
        <f>'Ark1'!I45+(RugEgen-RugStand)*$D154+(NStand-NEgen)*$D$181+('Ark1'!I45-'Ark1'!H45)*(ProtEgen-ProtStand)/ProtStand</f>
        <v>82.231714517554792</v>
      </c>
      <c r="J103" s="8">
        <f>'Ark1'!J45+(RugEgen-RugStand)*$D154+(NStand-NEgen)*$D$181+('Ark1'!$I45-'Ark1'!$H45)*(ProtEgen-ProtStand)/ProtStand</f>
        <v>91.880618832161417</v>
      </c>
      <c r="L103" s="2" t="s">
        <v>162</v>
      </c>
      <c r="M103" s="8">
        <f>'Ark1'!M45+(RugEgen-RugStand)*E154+(NStand-NEgen)*$E$181</f>
        <v>102.44208354171315</v>
      </c>
      <c r="N103" s="8">
        <f>'Ark1'!N45+(RugEgen-RugStand)*$D154+(NStand-NEgen)*$E$181+('Ark1'!N45-'Ark1'!M45)*(ProtEgen-ProtStand)/ProtStand</f>
        <v>102.44208354171315</v>
      </c>
      <c r="O103" s="8">
        <f>'Ark1'!O45+(RugEgen-RugStand)*$D154+(NStand-NEgen)*$E$181+('Ark1'!$N45-'Ark1'!$M45)*(ProtEgen-ProtStand)/ProtStand</f>
        <v>109.29344925599798</v>
      </c>
      <c r="Q103" s="2" t="s">
        <v>162</v>
      </c>
      <c r="R103" s="8">
        <f>'Ark1'!R45+(BygEgen-BygStand)*F154+(NStand-NEgen)*$F$181</f>
        <v>23.187761408663391</v>
      </c>
      <c r="S103" s="8">
        <f>'Ark1'!S45+(RugEgen-RugStand)*$D154+(NStand-NEgen)*$F$181+('Ark1'!S45-'Ark1'!R45)*(ProtEgen-ProtStand)/ProtStand</f>
        <v>52.121526923090642</v>
      </c>
      <c r="T103" s="8">
        <f>'Ark1'!T45+(RugEgen-RugStand)*$D154+(NStand-NEgen)*$F$181+('Ark1'!$S45-'Ark1'!$R45)*(ProtEgen-ProtStand)/ProtStand</f>
        <v>58.774834298090354</v>
      </c>
      <c r="V103" s="2" t="s">
        <v>162</v>
      </c>
      <c r="W103" s="8"/>
      <c r="X103" s="8"/>
      <c r="Y103" s="8"/>
    </row>
    <row r="104" spans="2:25" x14ac:dyDescent="0.25">
      <c r="B104" s="2" t="s">
        <v>163</v>
      </c>
      <c r="C104" s="8">
        <f>'Ark1'!C46+(HvedeEgen-HvedeStand)*C155+(NStand-NEgen)*$C$181</f>
        <v>66.36561938874911</v>
      </c>
      <c r="D104" s="8">
        <f>'Ark1'!D46+(HvedeEgen-HvedeStand)*$C155+(NStand-NEgen)*$C$181+('Ark1'!D46-'Ark1'!C46)*(ProtEgen-ProtStand)/ProtStand</f>
        <v>122.59278293263924</v>
      </c>
      <c r="E104" s="8">
        <f>'Ark1'!E46+(HvedeEgen-HvedeStand)*$C155+(NStand-NEgen)*$C$181+('Ark1'!$D46-'Ark1'!$C46)*(ProtEgen-ProtStand)/ProtStand</f>
        <v>134.90353605763994</v>
      </c>
      <c r="G104" s="2" t="s">
        <v>163</v>
      </c>
      <c r="H104" s="8">
        <f>'Ark1'!H46+(RugEgen-RugStand)*D155+(NStand-NEgen)*$D$181</f>
        <v>54.916509294315802</v>
      </c>
      <c r="I104" s="8">
        <f>'Ark1'!I46+(RugEgen-RugStand)*$D155+(NStand-NEgen)*$D$181+('Ark1'!I46-'Ark1'!H46)*(ProtEgen-ProtStand)/ProtStand</f>
        <v>101.16853993518271</v>
      </c>
      <c r="J104" s="8">
        <f>'Ark1'!J46+(RugEgen-RugStand)*$D155+(NStand-NEgen)*$D$181+('Ark1'!$I46-'Ark1'!$H46)*(ProtEgen-ProtStand)/ProtStand</f>
        <v>112.99186824978915</v>
      </c>
      <c r="L104" s="2" t="s">
        <v>163</v>
      </c>
      <c r="M104" s="8">
        <f>'Ark1'!M46+(RugEgen-RugStand)*E155+(NStand-NEgen)*$E$181</f>
        <v>133.30282304571483</v>
      </c>
      <c r="N104" s="8">
        <f>'Ark1'!N46+(RugEgen-RugStand)*$D155+(NStand-NEgen)*$E$181+('Ark1'!N46-'Ark1'!M46)*(ProtEgen-ProtStand)/ProtStand</f>
        <v>133.30282304571483</v>
      </c>
      <c r="O104" s="8">
        <f>'Ark1'!O46+(RugEgen-RugStand)*$D155+(NStand-NEgen)*$E$181+('Ark1'!$N46-'Ark1'!$M46)*(ProtEgen-ProtStand)/ProtStand</f>
        <v>141.37890875999983</v>
      </c>
      <c r="Q104" s="2" t="s">
        <v>163</v>
      </c>
      <c r="R104" s="8">
        <f>'Ark1'!R46+(BygEgen-BygStand)*F155+(NStand-NEgen)*$F$181</f>
        <v>37.262252432436981</v>
      </c>
      <c r="S104" s="8">
        <f>'Ark1'!S46+(RugEgen-RugStand)*$D155+(NStand-NEgen)*$F$181+('Ark1'!S46-'Ark1'!R46)*(ProtEgen-ProtStand)/ProtStand</f>
        <v>65.399705488527616</v>
      </c>
      <c r="T104" s="8">
        <f>'Ark1'!T46+(RugEgen-RugStand)*$D155+(NStand-NEgen)*$F$181+('Ark1'!$S46-'Ark1'!$R46)*(ProtEgen-ProtStand)/ProtStand</f>
        <v>73.40989111352792</v>
      </c>
      <c r="V104" s="2" t="s">
        <v>163</v>
      </c>
      <c r="W104" s="8"/>
      <c r="X104" s="8"/>
      <c r="Y104" s="8"/>
    </row>
    <row r="105" spans="2:25" x14ac:dyDescent="0.25">
      <c r="B105" s="2" t="s">
        <v>164</v>
      </c>
      <c r="C105" s="8">
        <f>'Ark1'!C47+(HvedeEgen-HvedeStand)*C156+(NStand-NEgen)*$C$181</f>
        <v>100.31551909225163</v>
      </c>
      <c r="D105" s="8">
        <f>'Ark1'!D47+(HvedeEgen-HvedeStand)*$C156+(NStand-NEgen)*$C$181+('Ark1'!D47-'Ark1'!C47)*(ProtEgen-ProtStand)/ProtStand</f>
        <v>154.02466272548554</v>
      </c>
      <c r="E105" s="8">
        <f>'Ark1'!E47+(HvedeEgen-HvedeStand)*$C156+(NStand-NEgen)*$C$181+('Ark1'!$D47-'Ark1'!$C47)*(ProtEgen-ProtStand)/ProtStand</f>
        <v>169.44768710048447</v>
      </c>
      <c r="G105" s="2" t="s">
        <v>164</v>
      </c>
      <c r="H105" s="8">
        <f>'Ark1'!H47+(RugEgen-RugStand)*D156+(NStand-NEgen)*$D$181</f>
        <v>75.296733119113014</v>
      </c>
      <c r="I105" s="8">
        <f>'Ark1'!I47+(RugEgen-RugStand)*$D156+(NStand-NEgen)*$D$181+('Ark1'!I47-'Ark1'!H47)*(ProtEgen-ProtStand)/ProtStand</f>
        <v>119.74071444800757</v>
      </c>
      <c r="J105" s="8">
        <f>'Ark1'!J47+(RugEgen-RugStand)*$D156+(NStand-NEgen)*$D$181+('Ark1'!$I47-'Ark1'!$H47)*(ProtEgen-ProtStand)/ProtStand</f>
        <v>133.73846676261473</v>
      </c>
      <c r="L105" s="2" t="s">
        <v>164</v>
      </c>
      <c r="M105" s="8">
        <f>'Ark1'!M47+(RugEgen-RugStand)*E156+(NStand-NEgen)*$E$181</f>
        <v>164.16356254971288</v>
      </c>
      <c r="N105" s="8">
        <f>'Ark1'!N47+(RugEgen-RugStand)*$D156+(NStand-NEgen)*$E$181+('Ark1'!N47-'Ark1'!M47)*(ProtEgen-ProtStand)/ProtStand</f>
        <v>164.16356254971288</v>
      </c>
      <c r="O105" s="8">
        <f>'Ark1'!O47+(RugEgen-RugStand)*$D156+(NStand-NEgen)*$E$181+('Ark1'!$N47-'Ark1'!$M47)*(ProtEgen-ProtStand)/ProtStand</f>
        <v>173.46436826399986</v>
      </c>
      <c r="Q105" s="2" t="s">
        <v>164</v>
      </c>
      <c r="R105" s="8">
        <f>'Ark1'!R47+(BygEgen-BygStand)*F156+(NStand-NEgen)*$F$181</f>
        <v>51.336743456211479</v>
      </c>
      <c r="S105" s="8">
        <f>'Ark1'!S47+(RugEgen-RugStand)*$D156+(NStand-NEgen)*$F$181+('Ark1'!S47-'Ark1'!R47)*(ProtEgen-ProtStand)/ProtStand</f>
        <v>78.491347216546274</v>
      </c>
      <c r="T105" s="8">
        <f>'Ark1'!T47+(RugEgen-RugStand)*$D156+(NStand-NEgen)*$F$181+('Ark1'!$S47-'Ark1'!$R47)*(ProtEgen-ProtStand)/ProtStand</f>
        <v>87.858411091546259</v>
      </c>
      <c r="V105" s="2" t="s">
        <v>164</v>
      </c>
      <c r="W105" s="8"/>
      <c r="X105" s="8"/>
      <c r="Y105" s="8"/>
    </row>
    <row r="106" spans="2:25" x14ac:dyDescent="0.25">
      <c r="B106" s="2" t="s">
        <v>165</v>
      </c>
      <c r="C106" s="8">
        <f>'Ark1'!C48+(HvedeEgen-HvedeStand)*C157+(NStand-NEgen)*$C$181</f>
        <v>134.26541879575052</v>
      </c>
      <c r="D106" s="8">
        <f>'Ark1'!D48+(HvedeEgen-HvedeStand)*$C157+(NStand-NEgen)*$C$181+('Ark1'!D48-'Ark1'!C48)*(ProtEgen-ProtStand)/ProtStand</f>
        <v>184.82233944436121</v>
      </c>
      <c r="E106" s="8">
        <f>'Ark1'!E48+(HvedeEgen-HvedeStand)*$C157+(NStand-NEgen)*$C$181+('Ark1'!$D48-'Ark1'!$C48)*(ProtEgen-ProtStand)/ProtStand</f>
        <v>203.357635069362</v>
      </c>
      <c r="G106" s="2" t="s">
        <v>165</v>
      </c>
      <c r="H106" s="8">
        <f>'Ark1'!H48+(RugEgen-RugStand)*D157+(NStand-NEgen)*$D$181</f>
        <v>95.676956943915684</v>
      </c>
      <c r="I106" s="8">
        <f>'Ark1'!I48+(RugEgen-RugStand)*$D157+(NStand-NEgen)*$D$181+('Ark1'!I48-'Ark1'!H48)*(ProtEgen-ProtStand)/ProtStand</f>
        <v>137.94823805603755</v>
      </c>
      <c r="J106" s="8">
        <f>'Ark1'!J48+(RugEgen-RugStand)*$D157+(NStand-NEgen)*$D$181+('Ark1'!$I48-'Ark1'!$H48)*(ProtEgen-ProtStand)/ProtStand</f>
        <v>154.12041437064454</v>
      </c>
      <c r="L106" s="2" t="s">
        <v>165</v>
      </c>
      <c r="M106" s="8">
        <f>'Ark1'!M48+(RugEgen-RugStand)*E157+(NStand-NEgen)*$E$181</f>
        <v>195.02430205371638</v>
      </c>
      <c r="N106" s="8">
        <f>'Ark1'!N48+(RugEgen-RugStand)*$D157+(NStand-NEgen)*$E$181+('Ark1'!N48-'Ark1'!M48)*(ProtEgen-ProtStand)/ProtStand</f>
        <v>195.02430205371638</v>
      </c>
      <c r="O106" s="8">
        <f>'Ark1'!O48+(RugEgen-RugStand)*$D157+(NStand-NEgen)*$E$181+('Ark1'!$N48-'Ark1'!$M48)*(ProtEgen-ProtStand)/ProtStand</f>
        <v>205.54982776800171</v>
      </c>
      <c r="Q106" s="2" t="s">
        <v>165</v>
      </c>
      <c r="R106" s="8">
        <f>'Ark1'!R48+(BygEgen-BygStand)*F157+(NStand-NEgen)*$F$181</f>
        <v>65.411234479989616</v>
      </c>
      <c r="S106" s="8">
        <f>'Ark1'!S48+(RugEgen-RugStand)*$D157+(NStand-NEgen)*$F$181+('Ark1'!S48-'Ark1'!R48)*(ProtEgen-ProtStand)/ProtStand</f>
        <v>91.396452107149344</v>
      </c>
      <c r="T106" s="8">
        <f>'Ark1'!T48+(RugEgen-RugStand)*$D157+(NStand-NEgen)*$F$181+('Ark1'!$S48-'Ark1'!$R48)*(ProtEgen-ProtStand)/ProtStand</f>
        <v>102.12039423214901</v>
      </c>
      <c r="V106" s="2" t="s">
        <v>165</v>
      </c>
      <c r="W106" s="8"/>
      <c r="X106" s="8"/>
      <c r="Y106" s="8"/>
    </row>
    <row r="107" spans="2:25" x14ac:dyDescent="0.25">
      <c r="B107" s="2" t="s">
        <v>166</v>
      </c>
      <c r="C107" s="8">
        <f>'Ark1'!C49+(HvedeEgen-HvedeStand)*C158+(NStand-NEgen)*$C$181</f>
        <v>168.21531849924941</v>
      </c>
      <c r="D107" s="8">
        <f>'Ark1'!D49+(HvedeEgen-HvedeStand)*$C158+(NStand-NEgen)*$C$181+('Ark1'!D49-'Ark1'!C49)*(ProtEgen-ProtStand)/ProtStand</f>
        <v>214.98581308926441</v>
      </c>
      <c r="E107" s="8">
        <f>'Ark1'!E49+(HvedeEgen-HvedeStand)*$C158+(NStand-NEgen)*$C$181+('Ark1'!$D49-'Ark1'!$C49)*(ProtEgen-ProtStand)/ProtStand</f>
        <v>236.63337996426435</v>
      </c>
      <c r="G107" s="2" t="s">
        <v>166</v>
      </c>
      <c r="H107" s="8">
        <f>'Ark1'!H49+(RugEgen-RugStand)*D158+(NStand-NEgen)*$D$181</f>
        <v>116.05718076871472</v>
      </c>
      <c r="I107" s="8">
        <f>'Ark1'!I49+(RugEgen-RugStand)*$D158+(NStand-NEgen)*$D$181+('Ark1'!I49-'Ark1'!H49)*(ProtEgen-ProtStand)/ProtStand</f>
        <v>155.79111075926266</v>
      </c>
      <c r="J107" s="8">
        <f>'Ark1'!J49+(RugEgen-RugStand)*$D158+(NStand-NEgen)*$D$181+('Ark1'!$I49-'Ark1'!$H49)*(ProtEgen-ProtStand)/ProtStand</f>
        <v>174.13771107386947</v>
      </c>
      <c r="L107" s="2" t="s">
        <v>166</v>
      </c>
      <c r="M107" s="8">
        <f>'Ark1'!M49+(RugEgen-RugStand)*E158+(NStand-NEgen)*$E$181</f>
        <v>225.88504155771261</v>
      </c>
      <c r="N107" s="8">
        <f>'Ark1'!N49+(RugEgen-RugStand)*$D158+(NStand-NEgen)*$E$181+('Ark1'!N49-'Ark1'!M49)*(ProtEgen-ProtStand)/ProtStand</f>
        <v>225.88504155771261</v>
      </c>
      <c r="O107" s="8">
        <f>'Ark1'!O49+(RugEgen-RugStand)*$D158+(NStand-NEgen)*$E$181+('Ark1'!$N49-'Ark1'!$M49)*(ProtEgen-ProtStand)/ProtStand</f>
        <v>237.6352872719981</v>
      </c>
      <c r="Q107" s="2" t="s">
        <v>166</v>
      </c>
      <c r="R107" s="8">
        <f>'Ark1'!R49+(BygEgen-BygStand)*F158+(NStand-NEgen)*$F$181</f>
        <v>79.485725503760477</v>
      </c>
      <c r="S107" s="8">
        <f>'Ark1'!S49+(RugEgen-RugStand)*$D158+(NStand-NEgen)*$F$181+('Ark1'!S49-'Ark1'!R49)*(ProtEgen-ProtStand)/ProtStand</f>
        <v>104.11502016032591</v>
      </c>
      <c r="T107" s="8">
        <f>'Ark1'!T49+(RugEgen-RugStand)*$D158+(NStand-NEgen)*$F$181+('Ark1'!$S49-'Ark1'!$R49)*(ProtEgen-ProtStand)/ProtStand</f>
        <v>116.19584053532617</v>
      </c>
      <c r="V107" s="2" t="s">
        <v>166</v>
      </c>
      <c r="W107" s="8"/>
      <c r="X107" s="8"/>
      <c r="Y107" s="8"/>
    </row>
    <row r="108" spans="2:25" x14ac:dyDescent="0.25">
      <c r="B108" s="2" t="s">
        <v>167</v>
      </c>
      <c r="C108" s="8">
        <f>'Ark1'!C50+(HvedeEgen-HvedeStand)*C159+(NStand-NEgen)*$C$181</f>
        <v>202.16521820275011</v>
      </c>
      <c r="D108" s="8">
        <f>'Ark1'!D50+(HvedeEgen-HvedeStand)*$C159+(NStand-NEgen)*$C$181+('Ark1'!D50-'Ark1'!C50)*(ProtEgen-ProtStand)/ProtStand</f>
        <v>244.51508366020335</v>
      </c>
      <c r="E108" s="8">
        <f>'Ark1'!E50+(HvedeEgen-HvedeStand)*$C159+(NStand-NEgen)*$C$181+('Ark1'!$D50-'Ark1'!$C50)*(ProtEgen-ProtStand)/ProtStand</f>
        <v>269.27492178520333</v>
      </c>
      <c r="G108" s="2" t="s">
        <v>167</v>
      </c>
      <c r="H108" s="8">
        <f>'Ark1'!H50+(RugEgen-RugStand)*D159+(NStand-NEgen)*$D$181</f>
        <v>136.43740459351557</v>
      </c>
      <c r="I108" s="8">
        <f>'Ark1'!I50+(RugEgen-RugStand)*$D159+(NStand-NEgen)*$D$181+('Ark1'!I50-'Ark1'!H50)*(ProtEgen-ProtStand)/ProtStand</f>
        <v>173.26933255769109</v>
      </c>
      <c r="J108" s="8">
        <f>'Ark1'!J50+(RugEgen-RugStand)*$D159+(NStand-NEgen)*$D$181+('Ark1'!$I50-'Ark1'!$H50)*(ProtEgen-ProtStand)/ProtStand</f>
        <v>193.79035687229771</v>
      </c>
      <c r="L108" s="2" t="s">
        <v>167</v>
      </c>
      <c r="M108" s="8">
        <f>'Ark1'!M50+(RugEgen-RugStand)*E159+(NStand-NEgen)*$E$181</f>
        <v>256.74578106171612</v>
      </c>
      <c r="N108" s="8">
        <f>'Ark1'!N50+(RugEgen-RugStand)*$D159+(NStand-NEgen)*$E$181+('Ark1'!N50-'Ark1'!M50)*(ProtEgen-ProtStand)/ProtStand</f>
        <v>256.74578106171612</v>
      </c>
      <c r="O108" s="8">
        <f>'Ark1'!O50+(RugEgen-RugStand)*$D159+(NStand-NEgen)*$E$181+('Ark1'!$N50-'Ark1'!$M50)*(ProtEgen-ProtStand)/ProtStand</f>
        <v>269.72074677600176</v>
      </c>
      <c r="Q108" s="2" t="s">
        <v>167</v>
      </c>
      <c r="R108" s="8">
        <f>'Ark1'!R50+(BygEgen-BygStand)*F159+(NStand-NEgen)*$F$181</f>
        <v>93.560216527538614</v>
      </c>
      <c r="S108" s="8">
        <f>'Ark1'!S50+(RugEgen-RugStand)*$D159+(NStand-NEgen)*$F$181+('Ark1'!S50-'Ark1'!R50)*(ProtEgen-ProtStand)/ProtStand</f>
        <v>116.64705137609144</v>
      </c>
      <c r="T108" s="8">
        <f>'Ark1'!T50+(RugEgen-RugStand)*$D159+(NStand-NEgen)*$F$181+('Ark1'!$S50-'Ark1'!$R50)*(ProtEgen-ProtStand)/ProtStand</f>
        <v>130.08475000109138</v>
      </c>
      <c r="V108" s="2" t="s">
        <v>167</v>
      </c>
      <c r="W108" s="8"/>
      <c r="X108" s="8"/>
      <c r="Y108" s="8"/>
    </row>
    <row r="109" spans="2:25" x14ac:dyDescent="0.25">
      <c r="B109" s="2" t="s">
        <v>168</v>
      </c>
      <c r="C109" s="8">
        <f>'Ark1'!C51+(HvedeEgen-HvedeStand)*C160+(NStand-NEgen)*$C$181</f>
        <v>236.115117906249</v>
      </c>
      <c r="D109" s="8">
        <f>'Ark1'!D51+(HvedeEgen-HvedeStand)*$C160+(NStand-NEgen)*$C$181+('Ark1'!D51-'Ark1'!C51)*(ProtEgen-ProtStand)/ProtStand</f>
        <v>273.41015115717073</v>
      </c>
      <c r="E109" s="8">
        <f>'Ark1'!E51+(HvedeEgen-HvedeStand)*$C160+(NStand-NEgen)*$C$181+('Ark1'!$D51-'Ark1'!$C51)*(ProtEgen-ProtStand)/ProtStand</f>
        <v>301.28226053217077</v>
      </c>
      <c r="G109" s="2" t="s">
        <v>168</v>
      </c>
      <c r="H109" s="8">
        <f>'Ark1'!H51+(RugEgen-RugStand)*D160+(NStand-NEgen)*$D$181</f>
        <v>156.81762841831551</v>
      </c>
      <c r="I109" s="8">
        <f>'Ark1'!I51+(RugEgen-RugStand)*$D160+(NStand-NEgen)*$D$181+('Ark1'!I51-'Ark1'!H51)*(ProtEgen-ProtStand)/ProtStand</f>
        <v>190.38290345131736</v>
      </c>
      <c r="J109" s="8">
        <f>'Ark1'!J51+(RugEgen-RugStand)*$D160+(NStand-NEgen)*$D$181+('Ark1'!$I51-'Ark1'!$H51)*(ProtEgen-ProtStand)/ProtStand</f>
        <v>213.0783517659238</v>
      </c>
      <c r="L109" s="2" t="s">
        <v>168</v>
      </c>
      <c r="M109" s="8">
        <f>'Ark1'!M51+(RugEgen-RugStand)*E160+(NStand-NEgen)*$E$181</f>
        <v>287.60652056571325</v>
      </c>
      <c r="N109" s="8">
        <f>'Ark1'!N51+(RugEgen-RugStand)*$D160+(NStand-NEgen)*$E$181+('Ark1'!N51-'Ark1'!M51)*(ProtEgen-ProtStand)/ProtStand</f>
        <v>287.60652056571325</v>
      </c>
      <c r="O109" s="8">
        <f>'Ark1'!O51+(RugEgen-RugStand)*$D160+(NStand-NEgen)*$E$181+('Ark1'!$N51-'Ark1'!$M51)*(ProtEgen-ProtStand)/ProtStand</f>
        <v>301.80620627999906</v>
      </c>
      <c r="Q109" s="2" t="s">
        <v>168</v>
      </c>
      <c r="R109" s="8">
        <f>'Ark1'!R51+(BygEgen-BygStand)*F160+(NStand-NEgen)*$F$181</f>
        <v>107.6347075513122</v>
      </c>
      <c r="S109" s="8">
        <f>'Ark1'!S51+(RugEgen-RugStand)*$D160+(NStand-NEgen)*$F$181+('Ark1'!S51-'Ark1'!R51)*(ProtEgen-ProtStand)/ProtStand</f>
        <v>128.9925457544341</v>
      </c>
      <c r="T109" s="8">
        <f>'Ark1'!T51+(RugEgen-RugStand)*$D160+(NStand-NEgen)*$F$181+('Ark1'!$S51-'Ark1'!$R51)*(ProtEgen-ProtStand)/ProtStand</f>
        <v>143.78712262943463</v>
      </c>
      <c r="V109" s="2" t="s">
        <v>168</v>
      </c>
      <c r="W109" s="8"/>
      <c r="X109" s="8"/>
      <c r="Y109" s="8"/>
    </row>
    <row r="110" spans="2:25" x14ac:dyDescent="0.25">
      <c r="B110" s="2" t="s">
        <v>169</v>
      </c>
      <c r="C110" s="8">
        <f>'Ark1'!C52+(HvedeEgen-HvedeStand)*C161+(NStand-NEgen)*$C$181</f>
        <v>270.06501760974788</v>
      </c>
      <c r="D110" s="8">
        <f>'Ark1'!D52+(HvedeEgen-HvedeStand)*$C161+(NStand-NEgen)*$C$181+('Ark1'!D52-'Ark1'!C52)*(ProtEgen-ProtStand)/ProtStand</f>
        <v>301.67101558017021</v>
      </c>
      <c r="E110" s="8">
        <f>'Ark1'!E52+(HvedeEgen-HvedeStand)*$C161+(NStand-NEgen)*$C$181+('Ark1'!$D52-'Ark1'!$C52)*(ProtEgen-ProtStand)/ProtStand</f>
        <v>332.65539620517029</v>
      </c>
      <c r="G110" s="2" t="s">
        <v>169</v>
      </c>
      <c r="H110" s="8">
        <f>'Ark1'!H52+(RugEgen-RugStand)*D161+(NStand-NEgen)*$D$181</f>
        <v>177.19785224311181</v>
      </c>
      <c r="I110" s="8">
        <f>'Ark1'!I52+(RugEgen-RugStand)*$D161+(NStand-NEgen)*$D$181+('Ark1'!I52-'Ark1'!H52)*(ProtEgen-ProtStand)/ProtStand</f>
        <v>207.13182344014149</v>
      </c>
      <c r="J110" s="8">
        <f>'Ark1'!J52+(RugEgen-RugStand)*$D161+(NStand-NEgen)*$D$181+('Ark1'!$I52-'Ark1'!$H52)*(ProtEgen-ProtStand)/ProtStand</f>
        <v>232.00169575474774</v>
      </c>
      <c r="L110" s="2" t="s">
        <v>169</v>
      </c>
      <c r="M110" s="8">
        <f>'Ark1'!M52+(RugEgen-RugStand)*E161+(NStand-NEgen)*$E$181</f>
        <v>318.46726006971221</v>
      </c>
      <c r="N110" s="8">
        <f>'Ark1'!N52+(RugEgen-RugStand)*$D161+(NStand-NEgen)*$E$181+('Ark1'!N52-'Ark1'!M52)*(ProtEgen-ProtStand)/ProtStand</f>
        <v>318.46726006971221</v>
      </c>
      <c r="O110" s="8">
        <f>'Ark1'!O52+(RugEgen-RugStand)*$D161+(NStand-NEgen)*$E$181+('Ark1'!$N52-'Ark1'!$M52)*(ProtEgen-ProtStand)/ProtStand</f>
        <v>333.89166578399818</v>
      </c>
      <c r="Q110" s="2" t="s">
        <v>169</v>
      </c>
      <c r="R110" s="8">
        <f>'Ark1'!R52+(BygEgen-BygStand)*F161+(NStand-NEgen)*$F$181</f>
        <v>121.7091985750867</v>
      </c>
      <c r="S110" s="8">
        <f>'Ark1'!S52+(RugEgen-RugStand)*$D161+(NStand-NEgen)*$F$181+('Ark1'!S52-'Ark1'!R52)*(ProtEgen-ProtStand)/ProtStand</f>
        <v>141.15150329535845</v>
      </c>
      <c r="T110" s="8">
        <f>'Ark1'!T52+(RugEgen-RugStand)*$D161+(NStand-NEgen)*$F$181+('Ark1'!$S52-'Ark1'!$R52)*(ProtEgen-ProtStand)/ProtStand</f>
        <v>157.30295842035775</v>
      </c>
      <c r="V110" s="2" t="s">
        <v>169</v>
      </c>
      <c r="W110" s="8"/>
      <c r="X110" s="8"/>
      <c r="Y110" s="8"/>
    </row>
    <row r="111" spans="2:25" x14ac:dyDescent="0.25">
      <c r="B111" s="2" t="s">
        <v>170</v>
      </c>
      <c r="C111" s="8">
        <f>'Ark1'!C53+(HvedeEgen-HvedeStand)*C162+(NStand-NEgen)*$C$181</f>
        <v>304.01491731325223</v>
      </c>
      <c r="D111" s="8">
        <f>'Ark1'!D53+(HvedeEgen-HvedeStand)*$C162+(NStand-NEgen)*$C$181+('Ark1'!D53-'Ark1'!C53)*(ProtEgen-ProtStand)/ProtStand</f>
        <v>329.2976769292045</v>
      </c>
      <c r="E111" s="8">
        <f>'Ark1'!E53+(HvedeEgen-HvedeStand)*$C162+(NStand-NEgen)*$C$181+('Ark1'!$D53-'Ark1'!$C53)*(ProtEgen-ProtStand)/ProtStand</f>
        <v>363.39432880420463</v>
      </c>
      <c r="G111" s="2" t="s">
        <v>170</v>
      </c>
      <c r="H111" s="8">
        <f>'Ark1'!H53+(RugEgen-RugStand)*D162+(NStand-NEgen)*$D$181</f>
        <v>197.5780760679163</v>
      </c>
      <c r="I111" s="8">
        <f>'Ark1'!I53+(RugEgen-RugStand)*$D162+(NStand-NEgen)*$D$181+('Ark1'!I53-'Ark1'!H53)*(ProtEgen-ProtStand)/ProtStand</f>
        <v>223.51609252417256</v>
      </c>
      <c r="J111" s="8">
        <f>'Ark1'!J53+(RugEgen-RugStand)*$D162+(NStand-NEgen)*$D$181+('Ark1'!$I53-'Ark1'!$H53)*(ProtEgen-ProtStand)/ProtStand</f>
        <v>250.56038883877955</v>
      </c>
      <c r="L111" s="2" t="s">
        <v>170</v>
      </c>
      <c r="M111" s="8">
        <f>'Ark1'!M53+(RugEgen-RugStand)*E162+(NStand-NEgen)*$E$181</f>
        <v>349.32799957371662</v>
      </c>
      <c r="N111" s="8">
        <f>'Ark1'!N53+(RugEgen-RugStand)*$D162+(NStand-NEgen)*$E$181+('Ark1'!N53-'Ark1'!M53)*(ProtEgen-ProtStand)/ProtStand</f>
        <v>349.32799957371662</v>
      </c>
      <c r="O111" s="8">
        <f>'Ark1'!O53+(RugEgen-RugStand)*$D162+(NStand-NEgen)*$E$181+('Ark1'!$N53-'Ark1'!$M53)*(ProtEgen-ProtStand)/ProtStand</f>
        <v>365.97712528800184</v>
      </c>
      <c r="Q111" s="2" t="s">
        <v>170</v>
      </c>
      <c r="R111" s="8">
        <f>'Ark1'!R53+(BygEgen-BygStand)*F162+(NStand-NEgen)*$F$181</f>
        <v>135.78368959886302</v>
      </c>
      <c r="S111" s="8">
        <f>'Ark1'!S53+(RugEgen-RugStand)*$D162+(NStand-NEgen)*$F$181+('Ark1'!S53-'Ark1'!R53)*(ProtEgen-ProtStand)/ProtStand</f>
        <v>153.1239239988663</v>
      </c>
      <c r="T111" s="8">
        <f>'Ark1'!T53+(RugEgen-RugStand)*$D162+(NStand-NEgen)*$F$181+('Ark1'!$S53-'Ark1'!$R53)*(ProtEgen-ProtStand)/ProtStand</f>
        <v>170.63225737386711</v>
      </c>
      <c r="V111" s="2" t="s">
        <v>170</v>
      </c>
      <c r="W111" s="8"/>
      <c r="X111" s="8"/>
      <c r="Y111" s="8"/>
    </row>
    <row r="113" spans="2:25" ht="34" customHeight="1" x14ac:dyDescent="0.25">
      <c r="B113" s="138" t="s">
        <v>176</v>
      </c>
      <c r="C113" s="134" t="s">
        <v>16</v>
      </c>
      <c r="D113" s="135" t="s">
        <v>174</v>
      </c>
      <c r="E113" s="135" t="s">
        <v>175</v>
      </c>
      <c r="G113" s="133" t="s">
        <v>176</v>
      </c>
      <c r="H113" s="134" t="s">
        <v>16</v>
      </c>
      <c r="I113" s="135" t="s">
        <v>174</v>
      </c>
      <c r="J113" s="135" t="s">
        <v>175</v>
      </c>
      <c r="L113" s="133" t="s">
        <v>176</v>
      </c>
      <c r="M113" s="134" t="s">
        <v>16</v>
      </c>
      <c r="N113" s="135" t="s">
        <v>174</v>
      </c>
      <c r="O113" s="135" t="s">
        <v>175</v>
      </c>
      <c r="Q113" s="133" t="s">
        <v>176</v>
      </c>
      <c r="R113" s="134" t="s">
        <v>16</v>
      </c>
      <c r="S113" s="135" t="s">
        <v>174</v>
      </c>
      <c r="T113" s="135" t="s">
        <v>175</v>
      </c>
      <c r="V113" s="133" t="s">
        <v>176</v>
      </c>
      <c r="W113" s="134" t="s">
        <v>16</v>
      </c>
      <c r="X113" s="135" t="s">
        <v>174</v>
      </c>
      <c r="Y113" s="135" t="s">
        <v>175</v>
      </c>
    </row>
    <row r="114" spans="2:25" x14ac:dyDescent="0.25">
      <c r="B114" s="2" t="s">
        <v>161</v>
      </c>
      <c r="C114" s="8">
        <f>'Ark1'!C56+(HvedeEgen-HvedeStand)*C165+(NStand-NEgen)*$C$182</f>
        <v>-0.59166854825343762</v>
      </c>
      <c r="D114" s="8">
        <f>'Ark1'!D56+(HvedeEgen-HvedeStand)*$C165+(NStand-NEgen)*$C$182+('Ark1'!D56-'Ark1'!C56)*(ProtEgen-ProtStand)/ProtStand</f>
        <v>65.736554460481784</v>
      </c>
      <c r="E114" s="8">
        <f>'Ark1'!E56+(HvedeEgen-HvedeStand)*$C165+(NStand-NEgen)*$C$182+('Ark1'!$D56-'Ark1'!$C56)*(ProtEgen-ProtStand)/ProtStand</f>
        <v>72.266690085481969</v>
      </c>
      <c r="G114" s="2" t="s">
        <v>161</v>
      </c>
      <c r="H114" s="8">
        <f>'Ark1'!H56+(RugEgen-RugStand)*D165+(NStand-NEgen)*$D$182</f>
        <v>15.754762425931403</v>
      </c>
      <c r="I114" s="8">
        <f>'Ark1'!I56+(RugEgen-RugStand)*$D165+(NStand-NEgen)*$D$182+('Ark1'!I56-'Ark1'!H56)*(ProtEgen-ProtStand)/ProtStand</f>
        <v>70.589137697168553</v>
      </c>
      <c r="J114" s="8">
        <f>'Ark1'!J56+(RugEgen-RugStand)*$D165+(NStand-NEgen)*$D$182+('Ark1'!$I56-'Ark1'!$H56)*(ProtEgen-ProtStand)/ProtStand</f>
        <v>78.61561485166385</v>
      </c>
      <c r="L114" s="2" t="s">
        <v>161</v>
      </c>
      <c r="M114" s="8">
        <f>'Ark1'!M56+(RugEgen-RugStand)*E165+(NStand-NEgen)*$E$182</f>
        <v>72.792816599945581</v>
      </c>
      <c r="N114" s="8">
        <f>'Ark1'!N56+(RugEgen-RugStand)*$D165+(NStand-NEgen)*$E$182+('Ark1'!N56-'Ark1'!M56)*(ProtEgen-ProtStand)/ProtStand</f>
        <v>72.792816599945581</v>
      </c>
      <c r="O114" s="8">
        <f>'Ark1'!O56+(RugEgen-RugStand)*$D165+(NStand-NEgen)*$E$182+('Ark1'!$N56-'Ark1'!$M56)*(ProtEgen-ProtStand)/ProtStand</f>
        <v>78.506233296373466</v>
      </c>
      <c r="Q114" s="2" t="s">
        <v>161</v>
      </c>
      <c r="R114" s="8">
        <f>'Ark1'!R56+(BygEgen-BygStand)*F165+(NStand-NEgen)*$F$182</f>
        <v>9.8132692424460402</v>
      </c>
      <c r="S114" s="8">
        <f>'Ark1'!S56+(RugEgen-RugStand)*$D165+(NStand-NEgen)*$F$182+('Ark1'!S56-'Ark1'!R56)*(ProtEgen-ProtStand)/ProtStand</f>
        <v>42.512776869384652</v>
      </c>
      <c r="T114" s="8">
        <f>'Ark1'!T56+(RugEgen-RugStand)*$D165+(NStand-NEgen)*$F$182+('Ark1'!$S56-'Ark1'!$R56)*(ProtEgen-ProtStand)/ProtStand</f>
        <v>48.064684207151004</v>
      </c>
      <c r="V114" s="2" t="s">
        <v>161</v>
      </c>
      <c r="W114" s="8"/>
      <c r="X114" s="8"/>
      <c r="Y114" s="8"/>
    </row>
    <row r="115" spans="2:25" x14ac:dyDescent="0.25">
      <c r="B115" s="2" t="s">
        <v>162</v>
      </c>
      <c r="C115" s="8">
        <f>'Ark1'!C57+(HvedeEgen-HvedeStand)*C166+(NStand-NEgen)*$C$182</f>
        <v>37.368704415252068</v>
      </c>
      <c r="D115" s="8">
        <f>'Ark1'!D57+(HvedeEgen-HvedeStand)*$C166+(NStand-NEgen)*$C$182+('Ark1'!D57-'Ark1'!C57)*(ProtEgen-ProtStand)/ProtStand</f>
        <v>102.25898275389227</v>
      </c>
      <c r="E115" s="8">
        <f>'Ark1'!E57+(HvedeEgen-HvedeStand)*$C166+(NStand-NEgen)*$C$182+('Ark1'!$D57-'Ark1'!$C57)*(ProtEgen-ProtStand)/ProtStand</f>
        <v>112.26903962889264</v>
      </c>
      <c r="G115" s="2" t="s">
        <v>162</v>
      </c>
      <c r="H115" s="8">
        <f>'Ark1'!H57+(RugEgen-RugStand)*D166+(NStand-NEgen)*$D$182</f>
        <v>38.825115172978258</v>
      </c>
      <c r="I115" s="8">
        <f>'Ark1'!I57+(RugEgen-RugStand)*$D166+(NStand-NEgen)*$D$182+('Ark1'!I57-'Ark1'!H57)*(ProtEgen-ProtStand)/ProtStand</f>
        <v>92.411952520262275</v>
      </c>
      <c r="J115" s="8">
        <f>'Ark1'!J57+(RugEgen-RugStand)*$D166+(NStand-NEgen)*$D$182+('Ark1'!$I57-'Ark1'!$H57)*(ProtEgen-ProtStand)/ProtStand</f>
        <v>102.89987117475539</v>
      </c>
      <c r="L115" s="2" t="s">
        <v>162</v>
      </c>
      <c r="M115" s="8">
        <f>'Ark1'!M57+(RugEgen-RugStand)*E166+(NStand-NEgen)*$E$182</f>
        <v>104.51675194269774</v>
      </c>
      <c r="N115" s="8">
        <f>'Ark1'!N57+(RugEgen-RugStand)*$D166+(NStand-NEgen)*$E$182+('Ark1'!N57-'Ark1'!M57)*(ProtEgen-ProtStand)/ProtStand</f>
        <v>104.51675194269774</v>
      </c>
      <c r="O115" s="8">
        <f>'Ark1'!O57+(RugEgen-RugStand)*$D166+(NStand-NEgen)*$E$182+('Ark1'!$N57-'Ark1'!$M57)*(ProtEgen-ProtStand)/ProtStand</f>
        <v>111.48914488912669</v>
      </c>
      <c r="Q115" s="2" t="s">
        <v>162</v>
      </c>
      <c r="R115" s="8">
        <f>'Ark1'!R57+(BygEgen-BygStand)*F166+(NStand-NEgen)*$F$182</f>
        <v>25.111075013418485</v>
      </c>
      <c r="S115" s="8">
        <f>'Ark1'!S57+(RugEgen-RugStand)*$D166+(NStand-NEgen)*$F$182+('Ark1'!S57-'Ark1'!R57)*(ProtEgen-ProtStand)/ProtStand</f>
        <v>57.139179392645019</v>
      </c>
      <c r="T115" s="8">
        <f>'Ark1'!T57+(RugEgen-RugStand)*$D166+(NStand-NEgen)*$F$182+('Ark1'!$S57-'Ark1'!$R57)*(ProtEgen-ProtStand)/ProtStand</f>
        <v>64.165900980410697</v>
      </c>
      <c r="V115" s="2" t="s">
        <v>162</v>
      </c>
      <c r="W115" s="8"/>
      <c r="X115" s="8"/>
      <c r="Y115" s="8"/>
    </row>
    <row r="116" spans="2:25" x14ac:dyDescent="0.25">
      <c r="B116" s="2" t="s">
        <v>163</v>
      </c>
      <c r="C116" s="8">
        <f>'Ark1'!C58+(HvedeEgen-HvedeStand)*C167+(NStand-NEgen)*$C$182</f>
        <v>75.32907737874848</v>
      </c>
      <c r="D116" s="8">
        <f>'Ark1'!D58+(HvedeEgen-HvedeStand)*$C167+(NStand-NEgen)*$C$182+('Ark1'!D58-'Ark1'!C58)*(ProtEgen-ProtStand)/ProtStand</f>
        <v>138.0315750159516</v>
      </c>
      <c r="E116" s="8">
        <f>'Ark1'!E58+(HvedeEgen-HvedeStand)*$C167+(NStand-NEgen)*$C$182+('Ark1'!$D58-'Ark1'!$C58)*(ProtEgen-ProtStand)/ProtStand</f>
        <v>151.52155314095035</v>
      </c>
      <c r="G116" s="2" t="s">
        <v>163</v>
      </c>
      <c r="H116" s="8">
        <f>'Ark1'!H58+(RugEgen-RugStand)*D167+(NStand-NEgen)*$D$182</f>
        <v>61.89546792002875</v>
      </c>
      <c r="I116" s="8">
        <f>'Ark1'!I58+(RugEgen-RugStand)*$D167+(NStand-NEgen)*$D$182+('Ark1'!I58-'Ark1'!H58)*(ProtEgen-ProtStand)/ProtStand</f>
        <v>113.79558464372349</v>
      </c>
      <c r="J116" s="8">
        <f>'Ark1'!J58+(RugEgen-RugStand)*$D167+(NStand-NEgen)*$D$182+('Ark1'!$I58-'Ark1'!$H58)*(ProtEgen-ProtStand)/ProtStand</f>
        <v>126.74494479821806</v>
      </c>
      <c r="L116" s="2" t="s">
        <v>163</v>
      </c>
      <c r="M116" s="8">
        <f>'Ark1'!M58+(RugEgen-RugStand)*E167+(NStand-NEgen)*$E$182</f>
        <v>136.24068728544444</v>
      </c>
      <c r="N116" s="8">
        <f>'Ark1'!N58+(RugEgen-RugStand)*$D167+(NStand-NEgen)*$E$182+('Ark1'!N58-'Ark1'!M58)*(ProtEgen-ProtStand)/ProtStand</f>
        <v>136.24068728544444</v>
      </c>
      <c r="O116" s="8">
        <f>'Ark1'!O58+(RugEgen-RugStand)*$D167+(NStand-NEgen)*$E$182+('Ark1'!$N58-'Ark1'!$M58)*(ProtEgen-ProtStand)/ProtStand</f>
        <v>144.47205648187264</v>
      </c>
      <c r="Q116" s="2" t="s">
        <v>163</v>
      </c>
      <c r="R116" s="8">
        <f>'Ark1'!R58+(BygEgen-BygStand)*F167+(NStand-NEgen)*$F$182</f>
        <v>40.408880784395478</v>
      </c>
      <c r="S116" s="8">
        <f>'Ark1'!S58+(RugEgen-RugStand)*$D167+(NStand-NEgen)*$F$182+('Ark1'!S58-'Ark1'!R58)*(ProtEgen-ProtStand)/ProtStand</f>
        <v>71.554204163530812</v>
      </c>
      <c r="T116" s="8">
        <f>'Ark1'!T58+(RugEgen-RugStand)*$D167+(NStand-NEgen)*$F$182+('Ark1'!$S58-'Ark1'!$R58)*(ProtEgen-ProtStand)/ProtStand</f>
        <v>80.055740001296726</v>
      </c>
      <c r="V116" s="2" t="s">
        <v>163</v>
      </c>
      <c r="W116" s="8"/>
      <c r="X116" s="8"/>
      <c r="Y116" s="8"/>
    </row>
    <row r="117" spans="2:25" x14ac:dyDescent="0.25">
      <c r="B117" s="2" t="s">
        <v>164</v>
      </c>
      <c r="C117" s="8">
        <f>'Ark1'!C59+(HvedeEgen-HvedeStand)*C168+(NStand-NEgen)*$C$182</f>
        <v>113.28945034225035</v>
      </c>
      <c r="D117" s="8">
        <f>'Ark1'!D59+(HvedeEgen-HvedeStand)*$C168+(NStand-NEgen)*$C$182+('Ark1'!D59-'Ark1'!C59)*(ProtEgen-ProtStand)/ProtStand</f>
        <v>173.05433124667252</v>
      </c>
      <c r="E117" s="8">
        <f>'Ark1'!E59+(HvedeEgen-HvedeStand)*$C168+(NStand-NEgen)*$C$182+('Ark1'!$D59-'Ark1'!$C59)*(ProtEgen-ProtStand)/ProtStand</f>
        <v>190.02423062167327</v>
      </c>
      <c r="G117" s="2" t="s">
        <v>164</v>
      </c>
      <c r="H117" s="8">
        <f>'Ark1'!H59+(RugEgen-RugStand)*D168+(NStand-NEgen)*$D$182</f>
        <v>84.965820667081061</v>
      </c>
      <c r="I117" s="8">
        <f>'Ark1'!I59+(RugEgen-RugStand)*$D168+(NStand-NEgen)*$D$182+('Ark1'!I59-'Ark1'!H59)*(ProtEgen-ProtStand)/ProtStand</f>
        <v>134.74003406754855</v>
      </c>
      <c r="J117" s="8">
        <f>'Ark1'!J59+(RugEgen-RugStand)*$D168+(NStand-NEgen)*$D$182+('Ark1'!$I59-'Ark1'!$H59)*(ProtEgen-ProtStand)/ProtStand</f>
        <v>150.15083572204276</v>
      </c>
      <c r="L117" s="2" t="s">
        <v>164</v>
      </c>
      <c r="M117" s="8">
        <f>'Ark1'!M59+(RugEgen-RugStand)*E168+(NStand-NEgen)*$E$182</f>
        <v>167.96462262819841</v>
      </c>
      <c r="N117" s="8">
        <f>'Ark1'!N59+(RugEgen-RugStand)*$D168+(NStand-NEgen)*$E$182+('Ark1'!N59-'Ark1'!M59)*(ProtEgen-ProtStand)/ProtStand</f>
        <v>167.96462262819841</v>
      </c>
      <c r="O117" s="8">
        <f>'Ark1'!O59+(RugEgen-RugStand)*$D168+(NStand-NEgen)*$E$182+('Ark1'!$N59-'Ark1'!$M59)*(ProtEgen-ProtStand)/ProtStand</f>
        <v>177.45496807462769</v>
      </c>
      <c r="Q117" s="2" t="s">
        <v>164</v>
      </c>
      <c r="R117" s="8">
        <f>'Ark1'!R59+(BygEgen-BygStand)*F168+(NStand-NEgen)*$F$182</f>
        <v>55.706686555371562</v>
      </c>
      <c r="S117" s="8">
        <f>'Ark1'!S59+(RugEgen-RugStand)*$D168+(NStand-NEgen)*$F$182+('Ark1'!S59-'Ark1'!R59)*(ProtEgen-ProtStand)/ProtStand</f>
        <v>85.757851182032937</v>
      </c>
      <c r="T117" s="8">
        <f>'Ark1'!T59+(RugEgen-RugStand)*$D168+(NStand-NEgen)*$F$182+('Ark1'!$S59-'Ark1'!$R59)*(ProtEgen-ProtStand)/ProtStand</f>
        <v>95.734201269799087</v>
      </c>
      <c r="V117" s="2" t="s">
        <v>164</v>
      </c>
      <c r="W117" s="8"/>
      <c r="X117" s="8"/>
      <c r="Y117" s="8"/>
    </row>
    <row r="118" spans="2:25" x14ac:dyDescent="0.25">
      <c r="B118" s="2" t="s">
        <v>165</v>
      </c>
      <c r="C118" s="8">
        <f>'Ark1'!C60+(HvedeEgen-HvedeStand)*C169+(NStand-NEgen)*$C$182</f>
        <v>151.24982330575222</v>
      </c>
      <c r="D118" s="8">
        <f>'Ark1'!D60+(HvedeEgen-HvedeStand)*$C169+(NStand-NEgen)*$C$182+('Ark1'!D60-'Ark1'!C60)*(ProtEgen-ProtStand)/ProtStand</f>
        <v>207.32725144604774</v>
      </c>
      <c r="E118" s="8">
        <f>'Ark1'!E60+(HvedeEgen-HvedeStand)*$C169+(NStand-NEgen)*$C$182+('Ark1'!$D60-'Ark1'!$C60)*(ProtEgen-ProtStand)/ProtStand</f>
        <v>227.77707207104686</v>
      </c>
      <c r="G118" s="2" t="s">
        <v>165</v>
      </c>
      <c r="H118" s="8">
        <f>'Ark1'!H60+(RugEgen-RugStand)*D169+(NStand-NEgen)*$D$182</f>
        <v>108.03617341412973</v>
      </c>
      <c r="I118" s="8">
        <f>'Ark1'!I60+(RugEgen-RugStand)*$D169+(NStand-NEgen)*$D$182+('Ark1'!I60-'Ark1'!H60)*(ProtEgen-ProtStand)/ProtStand</f>
        <v>155.24530079173201</v>
      </c>
      <c r="J118" s="8">
        <f>'Ark1'!J60+(RugEgen-RugStand)*$D169+(NStand-NEgen)*$D$182+('Ark1'!$I60-'Ark1'!$H60)*(ProtEgen-ProtStand)/ProtStand</f>
        <v>173.11754394622676</v>
      </c>
      <c r="L118" s="2" t="s">
        <v>165</v>
      </c>
      <c r="M118" s="8">
        <f>'Ark1'!M60+(RugEgen-RugStand)*E169+(NStand-NEgen)*$E$182</f>
        <v>199.68855797094511</v>
      </c>
      <c r="N118" s="8">
        <f>'Ark1'!N60+(RugEgen-RugStand)*$D169+(NStand-NEgen)*$E$182+('Ark1'!N60-'Ark1'!M60)*(ProtEgen-ProtStand)/ProtStand</f>
        <v>199.68855797094511</v>
      </c>
      <c r="O118" s="8">
        <f>'Ark1'!O60+(RugEgen-RugStand)*$D169+(NStand-NEgen)*$E$182+('Ark1'!$N60-'Ark1'!$M60)*(ProtEgen-ProtStand)/ProtStand</f>
        <v>210.43787966737364</v>
      </c>
      <c r="Q118" s="2" t="s">
        <v>165</v>
      </c>
      <c r="R118" s="8">
        <f>'Ark1'!R60+(BygEgen-BygStand)*F169+(NStand-NEgen)*$F$182</f>
        <v>71.004492326342188</v>
      </c>
      <c r="S118" s="8">
        <f>'Ark1'!S60+(RugEgen-RugStand)*$D169+(NStand-NEgen)*$F$182+('Ark1'!S60-'Ark1'!R60)*(ProtEgen-ProtStand)/ProtStand</f>
        <v>99.750120448148664</v>
      </c>
      <c r="T118" s="8">
        <f>'Ark1'!T60+(RugEgen-RugStand)*$D169+(NStand-NEgen)*$F$182+('Ark1'!$S60-'Ark1'!$R60)*(ProtEgen-ProtStand)/ProtStand</f>
        <v>111.20128478591414</v>
      </c>
      <c r="V118" s="2" t="s">
        <v>165</v>
      </c>
      <c r="W118" s="8"/>
      <c r="X118" s="8"/>
      <c r="Y118" s="8"/>
    </row>
    <row r="119" spans="2:25" x14ac:dyDescent="0.25">
      <c r="B119" s="2" t="s">
        <v>166</v>
      </c>
      <c r="C119" s="8">
        <f>'Ark1'!C61+(HvedeEgen-HvedeStand)*C170+(NStand-NEgen)*$C$182</f>
        <v>189.21019626924681</v>
      </c>
      <c r="D119" s="8">
        <f>'Ark1'!D61+(HvedeEgen-HvedeStand)*$C170+(NStand-NEgen)*$C$182+('Ark1'!D61-'Ark1'!C61)*(ProtEgen-ProtStand)/ProtStand</f>
        <v>240.85033561407545</v>
      </c>
      <c r="E119" s="8">
        <f>'Ark1'!E61+(HvedeEgen-HvedeStand)*$C170+(NStand-NEgen)*$C$182+('Ark1'!$D61-'Ark1'!$C61)*(ProtEgen-ProtStand)/ProtStand</f>
        <v>264.78007748907658</v>
      </c>
      <c r="G119" s="2" t="s">
        <v>166</v>
      </c>
      <c r="H119" s="8">
        <f>'Ark1'!H61+(RugEgen-RugStand)*D170+(NStand-NEgen)*$D$182</f>
        <v>131.10652616117932</v>
      </c>
      <c r="I119" s="8">
        <f>'Ark1'!I61+(RugEgen-RugStand)*$D170+(NStand-NEgen)*$D$182+('Ark1'!I61-'Ark1'!H61)*(ProtEgen-ProtStand)/ProtStand</f>
        <v>175.31138481628113</v>
      </c>
      <c r="J119" s="8">
        <f>'Ark1'!J61+(RugEgen-RugStand)*$D170+(NStand-NEgen)*$D$182+('Ark1'!$I61-'Ark1'!$H61)*(ProtEgen-ProtStand)/ProtStand</f>
        <v>195.64506947077552</v>
      </c>
      <c r="L119" s="2" t="s">
        <v>166</v>
      </c>
      <c r="M119" s="8">
        <f>'Ark1'!M61+(RugEgen-RugStand)*E170+(NStand-NEgen)*$E$182</f>
        <v>231.41249331369727</v>
      </c>
      <c r="N119" s="8">
        <f>'Ark1'!N61+(RugEgen-RugStand)*$D170+(NStand-NEgen)*$E$182+('Ark1'!N61-'Ark1'!M61)*(ProtEgen-ProtStand)/ProtStand</f>
        <v>231.41249331369727</v>
      </c>
      <c r="O119" s="8">
        <f>'Ark1'!O61+(RugEgen-RugStand)*$D170+(NStand-NEgen)*$E$182+('Ark1'!$N61-'Ark1'!$M61)*(ProtEgen-ProtStand)/ProtStand</f>
        <v>243.42079126012504</v>
      </c>
      <c r="Q119" s="2" t="s">
        <v>166</v>
      </c>
      <c r="R119" s="8">
        <f>'Ark1'!R61+(BygEgen-BygStand)*F170+(NStand-NEgen)*$F$182</f>
        <v>86.302298097321</v>
      </c>
      <c r="S119" s="8">
        <f>'Ark1'!S61+(RugEgen-RugStand)*$D170+(NStand-NEgen)*$F$182+('Ark1'!S61-'Ark1'!R61)*(ProtEgen-ProtStand)/ProtStand</f>
        <v>113.53101196189164</v>
      </c>
      <c r="T119" s="8">
        <f>'Ark1'!T61+(RugEgen-RugStand)*$D170+(NStand-NEgen)*$F$182+('Ark1'!$S61-'Ark1'!$R61)*(ProtEgen-ProtStand)/ProtStand</f>
        <v>126.45699054965826</v>
      </c>
      <c r="V119" s="2" t="s">
        <v>166</v>
      </c>
      <c r="W119" s="8"/>
      <c r="X119" s="8"/>
      <c r="Y119" s="8"/>
    </row>
    <row r="120" spans="2:25" x14ac:dyDescent="0.25">
      <c r="B120" s="2" t="s">
        <v>167</v>
      </c>
      <c r="C120" s="8">
        <f>'Ark1'!C62+(HvedeEgen-HvedeStand)*C171+(NStand-NEgen)*$C$182</f>
        <v>227.17056923275231</v>
      </c>
      <c r="D120" s="8">
        <f>'Ark1'!D62+(HvedeEgen-HvedeStand)*$C171+(NStand-NEgen)*$C$182+('Ark1'!D62-'Ark1'!C62)*(ProtEgen-ProtStand)/ProtStand</f>
        <v>273.62358375076838</v>
      </c>
      <c r="E120" s="8">
        <f>'Ark1'!E62+(HvedeEgen-HvedeStand)*$C171+(NStand-NEgen)*$C$182+('Ark1'!$D62-'Ark1'!$C62)*(ProtEgen-ProtStand)/ProtStand</f>
        <v>301.03324687576787</v>
      </c>
      <c r="G120" s="2" t="s">
        <v>167</v>
      </c>
      <c r="H120" s="8">
        <f>'Ark1'!H62+(RugEgen-RugStand)*D171+(NStand-NEgen)*$D$182</f>
        <v>154.17687890822799</v>
      </c>
      <c r="I120" s="8">
        <f>'Ark1'!I62+(RugEgen-RugStand)*$D171+(NStand-NEgen)*$D$182+('Ark1'!I62-'Ark1'!H62)*(ProtEgen-ProtStand)/ProtStand</f>
        <v>194.93828614118866</v>
      </c>
      <c r="J120" s="8">
        <f>'Ark1'!J62+(RugEgen-RugStand)*$D171+(NStand-NEgen)*$D$182+('Ark1'!$I62-'Ark1'!$H62)*(ProtEgen-ProtStand)/ProtStand</f>
        <v>217.73341229568268</v>
      </c>
      <c r="L120" s="2" t="s">
        <v>167</v>
      </c>
      <c r="M120" s="8">
        <f>'Ark1'!M62+(RugEgen-RugStand)*E171+(NStand-NEgen)*$E$182</f>
        <v>263.13642865644579</v>
      </c>
      <c r="N120" s="8">
        <f>'Ark1'!N62+(RugEgen-RugStand)*$D171+(NStand-NEgen)*$E$182+('Ark1'!N62-'Ark1'!M62)*(ProtEgen-ProtStand)/ProtStand</f>
        <v>263.13642865644579</v>
      </c>
      <c r="O120" s="8">
        <f>'Ark1'!O62+(RugEgen-RugStand)*$D171+(NStand-NEgen)*$E$182+('Ark1'!$N62-'Ark1'!$M62)*(ProtEgen-ProtStand)/ProtStand</f>
        <v>276.40370285287463</v>
      </c>
      <c r="Q120" s="2" t="s">
        <v>167</v>
      </c>
      <c r="R120" s="8">
        <f>'Ark1'!R62+(BygEgen-BygStand)*F171+(NStand-NEgen)*$F$182</f>
        <v>101.60010386829617</v>
      </c>
      <c r="S120" s="8">
        <f>'Ark1'!S62+(RugEgen-RugStand)*$D171+(NStand-NEgen)*$F$182+('Ark1'!S62-'Ark1'!R62)*(ProtEgen-ProtStand)/ProtStand</f>
        <v>127.10052572324912</v>
      </c>
      <c r="T120" s="8">
        <f>'Ark1'!T62+(RugEgen-RugStand)*$D171+(NStand-NEgen)*$F$182+('Ark1'!$S62-'Ark1'!$R62)*(ProtEgen-ProtStand)/ProtStand</f>
        <v>141.50131856101507</v>
      </c>
      <c r="V120" s="2" t="s">
        <v>167</v>
      </c>
      <c r="W120" s="8"/>
      <c r="X120" s="8"/>
      <c r="Y120" s="8"/>
    </row>
    <row r="121" spans="2:25" x14ac:dyDescent="0.25">
      <c r="B121" s="2" t="s">
        <v>168</v>
      </c>
      <c r="C121" s="8">
        <f>'Ark1'!C63+(HvedeEgen-HvedeStand)*C172+(NStand-NEgen)*$C$182</f>
        <v>265.13094219625054</v>
      </c>
      <c r="D121" s="8">
        <f>'Ark1'!D63+(HvedeEgen-HvedeStand)*$C172+(NStand-NEgen)*$C$182+('Ark1'!D63-'Ark1'!C63)*(ProtEgen-ProtStand)/ProtStand</f>
        <v>305.64699585611015</v>
      </c>
      <c r="E121" s="8">
        <f>'Ark1'!E63+(HvedeEgen-HvedeStand)*$C172+(NStand-NEgen)*$C$182+('Ark1'!$D63-'Ark1'!$C63)*(ProtEgen-ProtStand)/ProtStand</f>
        <v>336.53658023110984</v>
      </c>
      <c r="G121" s="2" t="s">
        <v>168</v>
      </c>
      <c r="H121" s="8">
        <f>'Ark1'!H63+(RugEgen-RugStand)*D172+(NStand-NEgen)*$D$182</f>
        <v>177.24723165528121</v>
      </c>
      <c r="I121" s="8">
        <f>'Ark1'!I63+(RugEgen-RugStand)*$D172+(NStand-NEgen)*$D$182+('Ark1'!I63-'Ark1'!H63)*(ProtEgen-ProtStand)/ProtStand</f>
        <v>214.12600476646548</v>
      </c>
      <c r="J121" s="8">
        <f>'Ark1'!J63+(RugEgen-RugStand)*$D172+(NStand-NEgen)*$D$182+('Ark1'!$I63-'Ark1'!$H63)*(ProtEgen-ProtStand)/ProtStand</f>
        <v>239.38257242096006</v>
      </c>
      <c r="L121" s="2" t="s">
        <v>168</v>
      </c>
      <c r="M121" s="8">
        <f>'Ark1'!M63+(RugEgen-RugStand)*E172+(NStand-NEgen)*$E$182</f>
        <v>294.86036399919794</v>
      </c>
      <c r="N121" s="8">
        <f>'Ark1'!N63+(RugEgen-RugStand)*$D172+(NStand-NEgen)*$E$182+('Ark1'!N63-'Ark1'!M63)*(ProtEgen-ProtStand)/ProtStand</f>
        <v>294.86036399919794</v>
      </c>
      <c r="O121" s="8">
        <f>'Ark1'!O63+(RugEgen-RugStand)*$D172+(NStand-NEgen)*$E$182+('Ark1'!$N63-'Ark1'!$M63)*(ProtEgen-ProtStand)/ProtStand</f>
        <v>309.38661444562786</v>
      </c>
      <c r="Q121" s="2" t="s">
        <v>168</v>
      </c>
      <c r="R121" s="8">
        <f>'Ark1'!R63+(BygEgen-BygStand)*F172+(NStand-NEgen)*$F$182</f>
        <v>116.89790963927044</v>
      </c>
      <c r="S121" s="8">
        <f>'Ark1'!S63+(RugEgen-RugStand)*$D172+(NStand-NEgen)*$F$182+('Ark1'!S63-'Ark1'!R63)*(ProtEgen-ProtStand)/ProtStand</f>
        <v>140.45866173222566</v>
      </c>
      <c r="T121" s="8">
        <f>'Ark1'!T63+(RugEgen-RugStand)*$D172+(NStand-NEgen)*$F$182+('Ark1'!$S63-'Ark1'!$R63)*(ProtEgen-ProtStand)/ProtStand</f>
        <v>156.33426881999094</v>
      </c>
      <c r="V121" s="2" t="s">
        <v>168</v>
      </c>
      <c r="W121" s="8"/>
      <c r="X121" s="8"/>
      <c r="Y121" s="8"/>
    </row>
    <row r="122" spans="2:25" x14ac:dyDescent="0.25">
      <c r="B122" s="2" t="s">
        <v>169</v>
      </c>
      <c r="C122" s="8">
        <f>'Ark1'!C64+(HvedeEgen-HvedeStand)*C173+(NStand-NEgen)*$C$182</f>
        <v>303.09131515974968</v>
      </c>
      <c r="D122" s="8">
        <f>'Ark1'!D64+(HvedeEgen-HvedeStand)*$C173+(NStand-NEgen)*$C$182+('Ark1'!D64-'Ark1'!C64)*(ProtEgen-ProtStand)/ProtStand</f>
        <v>336.92057193010805</v>
      </c>
      <c r="E122" s="8">
        <f>'Ark1'!E64+(HvedeEgen-HvedeStand)*$C173+(NStand-NEgen)*$C$182+('Ark1'!$D64-'Ark1'!$C64)*(ProtEgen-ProtStand)/ProtStand</f>
        <v>371.29007755510884</v>
      </c>
      <c r="G122" s="2" t="s">
        <v>169</v>
      </c>
      <c r="H122" s="8">
        <f>'Ark1'!H64+(RugEgen-RugStand)*D173+(NStand-NEgen)*$D$182</f>
        <v>200.31758440232989</v>
      </c>
      <c r="I122" s="8">
        <f>'Ark1'!I64+(RugEgen-RugStand)*$D173+(NStand-NEgen)*$D$182+('Ark1'!I64-'Ark1'!H64)*(ProtEgen-ProtStand)/ProtStand</f>
        <v>232.8745406920998</v>
      </c>
      <c r="J122" s="8">
        <f>'Ark1'!J64+(RugEgen-RugStand)*$D173+(NStand-NEgen)*$D$182+('Ark1'!$I64-'Ark1'!$H64)*(ProtEgen-ProtStand)/ProtStand</f>
        <v>260.59254984659401</v>
      </c>
      <c r="L122" s="2" t="s">
        <v>169</v>
      </c>
      <c r="M122" s="8">
        <f>'Ark1'!M64+(RugEgen-RugStand)*E173+(NStand-NEgen)*$E$182</f>
        <v>326.58429934194646</v>
      </c>
      <c r="N122" s="8">
        <f>'Ark1'!N64+(RugEgen-RugStand)*$D173+(NStand-NEgen)*$E$182+('Ark1'!N64-'Ark1'!M64)*(ProtEgen-ProtStand)/ProtStand</f>
        <v>326.58429934194646</v>
      </c>
      <c r="O122" s="8">
        <f>'Ark1'!O64+(RugEgen-RugStand)*$D173+(NStand-NEgen)*$E$182+('Ark1'!$N64-'Ark1'!$M64)*(ProtEgen-ProtStand)/ProtStand</f>
        <v>342.36952603837381</v>
      </c>
      <c r="Q122" s="2" t="s">
        <v>169</v>
      </c>
      <c r="R122" s="8">
        <f>'Ark1'!R64+(BygEgen-BygStand)*F173+(NStand-NEgen)*$F$182</f>
        <v>132.19571541024379</v>
      </c>
      <c r="S122" s="8">
        <f>'Ark1'!S64+(RugEgen-RugStand)*$D173+(NStand-NEgen)*$F$182+('Ark1'!S64-'Ark1'!R64)*(ProtEgen-ProtStand)/ProtStand</f>
        <v>153.60541998881854</v>
      </c>
      <c r="T122" s="8">
        <f>'Ark1'!T64+(RugEgen-RugStand)*$D173+(NStand-NEgen)*$F$182+('Ark1'!$S64-'Ark1'!$R64)*(ProtEgen-ProtStand)/ProtStand</f>
        <v>170.95584132658496</v>
      </c>
      <c r="V122" s="2" t="s">
        <v>169</v>
      </c>
      <c r="W122" s="8"/>
      <c r="X122" s="8"/>
      <c r="Y122" s="8"/>
    </row>
    <row r="123" spans="2:25" x14ac:dyDescent="0.25">
      <c r="B123" s="2" t="s">
        <v>170</v>
      </c>
      <c r="C123" s="8">
        <f>'Ark1'!C65+(HvedeEgen-HvedeStand)*C174+(NStand-NEgen)*$C$182</f>
        <v>341.051688123247</v>
      </c>
      <c r="D123" s="8">
        <f>'Ark1'!D65+(HvedeEgen-HvedeStand)*$C174+(NStand-NEgen)*$C$182+('Ark1'!D65-'Ark1'!C65)*(ProtEgen-ProtStand)/ProtStand</f>
        <v>367.44431197276299</v>
      </c>
      <c r="E123" s="8">
        <f>'Ark1'!E65+(HvedeEgen-HvedeStand)*$C174+(NStand-NEgen)*$C$182+('Ark1'!$D65-'Ark1'!$C65)*(ProtEgen-ProtStand)/ProtStand</f>
        <v>405.29373884776214</v>
      </c>
      <c r="G123" s="2" t="s">
        <v>170</v>
      </c>
      <c r="H123" s="8">
        <f>'Ark1'!H65+(RugEgen-RugStand)*D174+(NStand-NEgen)*$D$182</f>
        <v>223.38793714937765</v>
      </c>
      <c r="I123" s="8">
        <f>'Ark1'!I65+(RugEgen-RugStand)*$D174+(NStand-NEgen)*$D$182+('Ark1'!I65-'Ark1'!H65)*(ProtEgen-ProtStand)/ProtStand</f>
        <v>251.18389391809524</v>
      </c>
      <c r="J123" s="8">
        <f>'Ark1'!J65+(RugEgen-RugStand)*$D174+(NStand-NEgen)*$D$182+('Ark1'!$I65-'Ark1'!$H65)*(ProtEgen-ProtStand)/ProtStand</f>
        <v>281.36334457258999</v>
      </c>
      <c r="L123" s="2" t="s">
        <v>170</v>
      </c>
      <c r="M123" s="8">
        <f>'Ark1'!M65+(RugEgen-RugStand)*E174+(NStand-NEgen)*$E$182</f>
        <v>358.30823468469498</v>
      </c>
      <c r="N123" s="8">
        <f>'Ark1'!N65+(RugEgen-RugStand)*$D174+(NStand-NEgen)*$E$182+('Ark1'!N65-'Ark1'!M65)*(ProtEgen-ProtStand)/ProtStand</f>
        <v>358.30823468469498</v>
      </c>
      <c r="O123" s="8">
        <f>'Ark1'!O65+(RugEgen-RugStand)*$D174+(NStand-NEgen)*$E$182+('Ark1'!$N65-'Ark1'!$M65)*(ProtEgen-ProtStand)/ProtStand</f>
        <v>375.3524376311243</v>
      </c>
      <c r="Q123" s="2" t="s">
        <v>170</v>
      </c>
      <c r="R123" s="8">
        <f>'Ark1'!R65+(BygEgen-BygStand)*F174+(NStand-NEgen)*$F$182</f>
        <v>147.49352118121988</v>
      </c>
      <c r="S123" s="8">
        <f>'Ark1'!S65+(RugEgen-RugStand)*$D174+(NStand-NEgen)*$F$182+('Ark1'!S65-'Ark1'!R65)*(ProtEgen-ProtStand)/ProtStand</f>
        <v>166.5408004930332</v>
      </c>
      <c r="T123" s="8">
        <f>'Ark1'!T65+(RugEgen-RugStand)*$D174+(NStand-NEgen)*$F$182+('Ark1'!$S65-'Ark1'!$R65)*(ProtEgen-ProtStand)/ProtStand</f>
        <v>185.36603608079895</v>
      </c>
      <c r="V123" s="2" t="s">
        <v>170</v>
      </c>
      <c r="W123" s="8"/>
      <c r="X123" s="8"/>
      <c r="Y123" s="8"/>
    </row>
    <row r="125" spans="2:25" x14ac:dyDescent="0.25">
      <c r="B125" s="5" t="s">
        <v>283</v>
      </c>
    </row>
    <row r="126" spans="2:25" ht="5" customHeight="1" x14ac:dyDescent="0.25"/>
    <row r="127" spans="2:25" ht="23" x14ac:dyDescent="0.25">
      <c r="C127" s="150" t="s">
        <v>306</v>
      </c>
      <c r="D127" s="150" t="s">
        <v>307</v>
      </c>
      <c r="E127" s="150" t="s">
        <v>308</v>
      </c>
      <c r="F127" s="40" t="s">
        <v>158</v>
      </c>
    </row>
    <row r="128" spans="2:25" ht="11.5" customHeight="1" x14ac:dyDescent="0.25">
      <c r="B128" s="138" t="s">
        <v>284</v>
      </c>
    </row>
    <row r="129" spans="2:6" x14ac:dyDescent="0.25">
      <c r="B129" s="2" t="s">
        <v>161</v>
      </c>
      <c r="C129" s="141">
        <v>0.48841406249999864</v>
      </c>
      <c r="D129" s="131">
        <v>0.66388872893257656</v>
      </c>
      <c r="E129" s="131">
        <v>0.5054210000000019</v>
      </c>
      <c r="F129" s="131">
        <v>0.51274753164892672</v>
      </c>
    </row>
    <row r="130" spans="2:6" x14ac:dyDescent="0.25">
      <c r="B130" s="2" t="s">
        <v>162</v>
      </c>
      <c r="C130" s="141">
        <v>0.70661718750000801</v>
      </c>
      <c r="D130" s="131">
        <v>0.8404724789325968</v>
      </c>
      <c r="E130" s="131">
        <v>0.60626299999999489</v>
      </c>
      <c r="F130" s="131">
        <v>0.6408459566489455</v>
      </c>
    </row>
    <row r="131" spans="2:6" x14ac:dyDescent="0.25">
      <c r="B131" s="2" t="s">
        <v>163</v>
      </c>
      <c r="C131" s="141">
        <v>0.92482031249999608</v>
      </c>
      <c r="D131" s="131">
        <v>1.0170562289325744</v>
      </c>
      <c r="E131" s="131">
        <v>0.70710500000000565</v>
      </c>
      <c r="F131" s="131">
        <v>0.76894438164893586</v>
      </c>
    </row>
    <row r="132" spans="2:6" x14ac:dyDescent="0.25">
      <c r="B132" s="2" t="s">
        <v>164</v>
      </c>
      <c r="C132" s="141">
        <v>1.1430234374999912</v>
      </c>
      <c r="D132" s="131">
        <v>1.1936399789325876</v>
      </c>
      <c r="E132" s="131">
        <v>0.80794699999999509</v>
      </c>
      <c r="F132" s="131">
        <v>0.89704280664892622</v>
      </c>
    </row>
    <row r="133" spans="2:6" x14ac:dyDescent="0.25">
      <c r="B133" s="2" t="s">
        <v>165</v>
      </c>
      <c r="C133" s="141">
        <v>1.3612265625000077</v>
      </c>
      <c r="D133" s="131">
        <v>1.3702237289325865</v>
      </c>
      <c r="E133" s="131">
        <v>0.90878900000000229</v>
      </c>
      <c r="F133" s="131">
        <v>1.025141231648945</v>
      </c>
    </row>
    <row r="134" spans="2:6" x14ac:dyDescent="0.25">
      <c r="B134" s="2" t="s">
        <v>166</v>
      </c>
      <c r="C134" s="141">
        <v>1.5794296875000029</v>
      </c>
      <c r="D134" s="131">
        <v>1.5468074789325854</v>
      </c>
      <c r="E134" s="131">
        <v>1.0096310000000024</v>
      </c>
      <c r="F134" s="131">
        <v>1.1532396566489354</v>
      </c>
    </row>
    <row r="135" spans="2:6" x14ac:dyDescent="0.25">
      <c r="B135" s="2" t="s">
        <v>167</v>
      </c>
      <c r="C135" s="141">
        <v>1.7976328125000052</v>
      </c>
      <c r="D135" s="131">
        <v>1.7233912289325843</v>
      </c>
      <c r="E135" s="131">
        <v>1.1104729999999954</v>
      </c>
      <c r="F135" s="131">
        <v>1.2813380816489399</v>
      </c>
    </row>
    <row r="136" spans="2:6" x14ac:dyDescent="0.25">
      <c r="B136" s="2" t="s">
        <v>168</v>
      </c>
      <c r="C136" s="141">
        <v>2.0158359374999861</v>
      </c>
      <c r="D136" s="131">
        <v>1.8999749789325833</v>
      </c>
      <c r="E136" s="131">
        <v>1.211314999999999</v>
      </c>
      <c r="F136" s="131">
        <v>1.4094365066489303</v>
      </c>
    </row>
    <row r="137" spans="2:6" x14ac:dyDescent="0.25">
      <c r="B137" s="2" t="s">
        <v>169</v>
      </c>
      <c r="C137" s="141">
        <v>2.2340390625000026</v>
      </c>
      <c r="D137" s="131">
        <v>2.0765587289325822</v>
      </c>
      <c r="E137" s="131">
        <v>1.3121570000000027</v>
      </c>
      <c r="F137" s="131">
        <v>1.5375349316489348</v>
      </c>
    </row>
    <row r="138" spans="2:6" x14ac:dyDescent="0.25">
      <c r="B138" s="2" t="s">
        <v>170</v>
      </c>
      <c r="C138" s="141">
        <v>2.4522421875000049</v>
      </c>
      <c r="D138" s="131">
        <v>2.2531424789325811</v>
      </c>
      <c r="E138" s="131">
        <v>1.4129990000000028</v>
      </c>
      <c r="F138" s="131">
        <v>1.6656333566489394</v>
      </c>
    </row>
    <row r="139" spans="2:6" x14ac:dyDescent="0.25">
      <c r="D139" s="131"/>
      <c r="E139" s="131"/>
      <c r="F139" s="131"/>
    </row>
    <row r="140" spans="2:6" x14ac:dyDescent="0.25">
      <c r="B140" s="138" t="s">
        <v>178</v>
      </c>
      <c r="D140" s="131"/>
      <c r="E140" s="131"/>
      <c r="F140" s="131"/>
    </row>
    <row r="141" spans="2:6" x14ac:dyDescent="0.25">
      <c r="B141" s="2" t="s">
        <v>161</v>
      </c>
      <c r="C141" s="141">
        <v>0.50902856249999218</v>
      </c>
      <c r="D141" s="131">
        <v>0.68335864129214485</v>
      </c>
      <c r="E141" s="131">
        <v>0.53964114285713549</v>
      </c>
      <c r="F141" s="131">
        <v>0.49596135079787018</v>
      </c>
    </row>
    <row r="142" spans="2:6" x14ac:dyDescent="0.25">
      <c r="B142" s="2" t="s">
        <v>162</v>
      </c>
      <c r="C142" s="141">
        <v>0.74245068749999632</v>
      </c>
      <c r="D142" s="131">
        <v>0.86917399129212924</v>
      </c>
      <c r="E142" s="131">
        <v>0.65320914285715048</v>
      </c>
      <c r="F142" s="131">
        <v>0.61668877579786852</v>
      </c>
    </row>
    <row r="143" spans="2:6" x14ac:dyDescent="0.25">
      <c r="B143" s="2" t="s">
        <v>163</v>
      </c>
      <c r="C143" s="141">
        <v>0.97587281250000046</v>
      </c>
      <c r="D143" s="131">
        <v>1.0549893412921278</v>
      </c>
      <c r="E143" s="131">
        <v>0.76677714285714416</v>
      </c>
      <c r="F143" s="131">
        <v>0.73741620079788106</v>
      </c>
    </row>
    <row r="144" spans="2:6" x14ac:dyDescent="0.25">
      <c r="B144" s="2" t="s">
        <v>164</v>
      </c>
      <c r="C144" s="141">
        <v>1.2092949375000046</v>
      </c>
      <c r="D144" s="131">
        <v>1.2408046912921264</v>
      </c>
      <c r="E144" s="131">
        <v>0.88034514285714494</v>
      </c>
      <c r="F144" s="131">
        <v>0.85814362579786518</v>
      </c>
    </row>
    <row r="145" spans="2:6" x14ac:dyDescent="0.25">
      <c r="B145" s="2" t="s">
        <v>165</v>
      </c>
      <c r="C145" s="141">
        <v>1.4427170625000088</v>
      </c>
      <c r="D145" s="131">
        <v>1.4266200412921393</v>
      </c>
      <c r="E145" s="131">
        <v>0.99391314285713861</v>
      </c>
      <c r="F145" s="131">
        <v>0.97887105079787773</v>
      </c>
    </row>
    <row r="146" spans="2:6" x14ac:dyDescent="0.25">
      <c r="B146" s="2" t="s">
        <v>166</v>
      </c>
      <c r="C146" s="141">
        <v>1.6761391874999916</v>
      </c>
      <c r="D146" s="131">
        <v>1.6124353912921379</v>
      </c>
      <c r="E146" s="131">
        <v>1.1074811428571394</v>
      </c>
      <c r="F146" s="131">
        <v>1.0995984757978619</v>
      </c>
    </row>
    <row r="147" spans="2:6" x14ac:dyDescent="0.25">
      <c r="B147" s="2" t="s">
        <v>167</v>
      </c>
      <c r="C147" s="141">
        <v>1.9095613124999957</v>
      </c>
      <c r="D147" s="131">
        <v>1.7982507412921365</v>
      </c>
      <c r="E147" s="131">
        <v>1.2210491428571473</v>
      </c>
      <c r="F147" s="131">
        <v>1.2203259007978815</v>
      </c>
    </row>
    <row r="148" spans="2:6" x14ac:dyDescent="0.25">
      <c r="B148" s="2" t="s">
        <v>168</v>
      </c>
      <c r="C148" s="141">
        <v>2.1429834374999999</v>
      </c>
      <c r="D148" s="131">
        <v>1.9840660912921351</v>
      </c>
      <c r="E148" s="131">
        <v>1.3346171428571374</v>
      </c>
      <c r="F148" s="131">
        <v>1.3410533257978656</v>
      </c>
    </row>
    <row r="149" spans="2:6" x14ac:dyDescent="0.25">
      <c r="B149" s="2" t="s">
        <v>169</v>
      </c>
      <c r="C149" s="141">
        <v>2.376405562500004</v>
      </c>
      <c r="D149" s="131">
        <v>2.1698814412921337</v>
      </c>
      <c r="E149" s="131">
        <v>1.4481851428571524</v>
      </c>
      <c r="F149" s="131">
        <v>1.4617807507978711</v>
      </c>
    </row>
    <row r="150" spans="2:6" x14ac:dyDescent="0.25">
      <c r="B150" s="2" t="s">
        <v>170</v>
      </c>
      <c r="C150" s="141">
        <v>2.609827687500001</v>
      </c>
      <c r="D150" s="131">
        <v>2.3556967912921323</v>
      </c>
      <c r="E150" s="131">
        <v>1.5617531428571354</v>
      </c>
      <c r="F150" s="131">
        <v>1.5825081757978765</v>
      </c>
    </row>
    <row r="151" spans="2:6" x14ac:dyDescent="0.25">
      <c r="D151" s="131"/>
      <c r="E151" s="131"/>
      <c r="F151" s="131"/>
    </row>
    <row r="152" spans="2:6" ht="11.5" customHeight="1" x14ac:dyDescent="0.25">
      <c r="B152" s="138" t="s">
        <v>114</v>
      </c>
      <c r="D152" s="131"/>
      <c r="E152" s="131"/>
      <c r="F152" s="131"/>
    </row>
    <row r="153" spans="2:6" x14ac:dyDescent="0.25">
      <c r="B153" s="2" t="s">
        <v>161</v>
      </c>
      <c r="C153" s="141">
        <v>0.60862106249999215</v>
      </c>
      <c r="D153" s="131">
        <v>0.74744803146066374</v>
      </c>
      <c r="E153" s="131">
        <v>0.56266457142857007</v>
      </c>
      <c r="F153" s="131">
        <v>0.52964291250000883</v>
      </c>
    </row>
    <row r="154" spans="2:6" x14ac:dyDescent="0.25">
      <c r="B154" s="2" t="s">
        <v>162</v>
      </c>
      <c r="C154" s="141">
        <v>0.91984818750000841</v>
      </c>
      <c r="D154" s="131">
        <v>0.96489043146068809</v>
      </c>
      <c r="E154" s="131">
        <v>0.68513657142857198</v>
      </c>
      <c r="F154" s="131">
        <v>0.66533073750000682</v>
      </c>
    </row>
    <row r="155" spans="2:6" x14ac:dyDescent="0.25">
      <c r="B155" s="2" t="s">
        <v>163</v>
      </c>
      <c r="C155" s="141">
        <v>1.231075312499982</v>
      </c>
      <c r="D155" s="131">
        <v>1.1823328314606698</v>
      </c>
      <c r="E155" s="131">
        <v>0.8076085714285739</v>
      </c>
      <c r="F155" s="131">
        <v>0.8010185624999977</v>
      </c>
    </row>
    <row r="156" spans="2:6" x14ac:dyDescent="0.25">
      <c r="B156" s="2" t="s">
        <v>164</v>
      </c>
      <c r="C156" s="141">
        <v>1.5423024375000125</v>
      </c>
      <c r="D156" s="131">
        <v>1.3997752314606657</v>
      </c>
      <c r="E156" s="131">
        <v>0.9300805714285616</v>
      </c>
      <c r="F156" s="131">
        <v>0.93670638749999569</v>
      </c>
    </row>
    <row r="157" spans="2:6" x14ac:dyDescent="0.25">
      <c r="B157" s="2" t="s">
        <v>165</v>
      </c>
      <c r="C157" s="141">
        <v>1.8535295625000003</v>
      </c>
      <c r="D157" s="131">
        <v>1.6172176314606759</v>
      </c>
      <c r="E157" s="131">
        <v>1.0525525714285777</v>
      </c>
      <c r="F157" s="131">
        <v>1.0723942125000008</v>
      </c>
    </row>
    <row r="158" spans="2:6" x14ac:dyDescent="0.25">
      <c r="B158" s="2" t="s">
        <v>166</v>
      </c>
      <c r="C158" s="141">
        <v>2.1647566875000024</v>
      </c>
      <c r="D158" s="131">
        <v>1.834660031460686</v>
      </c>
      <c r="E158" s="131">
        <v>1.1750245714285725</v>
      </c>
      <c r="F158" s="131">
        <v>1.2080820375000059</v>
      </c>
    </row>
    <row r="159" spans="2:6" x14ac:dyDescent="0.25">
      <c r="B159" s="2" t="s">
        <v>167</v>
      </c>
      <c r="C159" s="141">
        <v>2.4759838125000044</v>
      </c>
      <c r="D159" s="131">
        <v>2.0521024314606819</v>
      </c>
      <c r="E159" s="131">
        <v>1.2974965714285744</v>
      </c>
      <c r="F159" s="131">
        <v>1.3437698624999967</v>
      </c>
    </row>
    <row r="160" spans="2:6" x14ac:dyDescent="0.25">
      <c r="B160" s="2" t="s">
        <v>168</v>
      </c>
      <c r="C160" s="141">
        <v>2.7872109374999923</v>
      </c>
      <c r="D160" s="131">
        <v>2.2695448314606637</v>
      </c>
      <c r="E160" s="131">
        <v>1.4199685714285692</v>
      </c>
      <c r="F160" s="131">
        <v>1.4794576875000018</v>
      </c>
    </row>
    <row r="161" spans="2:6" x14ac:dyDescent="0.25">
      <c r="B161" s="2" t="s">
        <v>169</v>
      </c>
      <c r="C161" s="141">
        <v>3.0984380624999801</v>
      </c>
      <c r="D161" s="131">
        <v>2.4869872314606596</v>
      </c>
      <c r="E161" s="131">
        <v>1.5424405714285641</v>
      </c>
      <c r="F161" s="131">
        <v>1.6151455124999927</v>
      </c>
    </row>
    <row r="162" spans="2:6" x14ac:dyDescent="0.25">
      <c r="B162" s="2" t="s">
        <v>170</v>
      </c>
      <c r="C162" s="141">
        <v>3.4096651875000106</v>
      </c>
      <c r="D162" s="131">
        <v>2.7044296314606981</v>
      </c>
      <c r="E162" s="131">
        <v>1.6649125714285802</v>
      </c>
      <c r="F162" s="131">
        <v>1.7508333375000049</v>
      </c>
    </row>
    <row r="163" spans="2:6" x14ac:dyDescent="0.25">
      <c r="D163" s="131"/>
      <c r="E163" s="131"/>
      <c r="F163" s="131"/>
    </row>
    <row r="164" spans="2:6" ht="11.5" customHeight="1" x14ac:dyDescent="0.25">
      <c r="B164" s="138" t="s">
        <v>115</v>
      </c>
      <c r="D164" s="131"/>
      <c r="E164" s="131"/>
      <c r="F164" s="131"/>
    </row>
    <row r="165" spans="2:6" x14ac:dyDescent="0.25">
      <c r="B165" s="2" t="s">
        <v>161</v>
      </c>
      <c r="C165" s="141">
        <v>0.65301356249997866</v>
      </c>
      <c r="D165" s="131">
        <v>0.80264771544943869</v>
      </c>
      <c r="E165" s="131">
        <v>0.57134166964285527</v>
      </c>
      <c r="F165" s="131">
        <v>0.55519073377659822</v>
      </c>
    </row>
    <row r="166" spans="2:6" x14ac:dyDescent="0.25">
      <c r="B166" s="2" t="s">
        <v>162</v>
      </c>
      <c r="C166" s="141">
        <v>1.0010056875000117</v>
      </c>
      <c r="D166" s="131">
        <v>1.048791865449445</v>
      </c>
      <c r="E166" s="131">
        <v>0.69723929464286272</v>
      </c>
      <c r="F166" s="131">
        <v>0.70267215877659339</v>
      </c>
    </row>
    <row r="167" spans="2:6" x14ac:dyDescent="0.25">
      <c r="B167" s="2" t="s">
        <v>163</v>
      </c>
      <c r="C167" s="141">
        <v>1.3489978125000022</v>
      </c>
      <c r="D167" s="131">
        <v>1.2949360154494371</v>
      </c>
      <c r="E167" s="131">
        <v>0.82313691964284885</v>
      </c>
      <c r="F167" s="131">
        <v>0.85015358377660277</v>
      </c>
    </row>
    <row r="168" spans="2:6" x14ac:dyDescent="0.25">
      <c r="B168" s="2" t="s">
        <v>164</v>
      </c>
      <c r="C168" s="141">
        <v>1.6969899375000068</v>
      </c>
      <c r="D168" s="131">
        <v>1.5410801654494435</v>
      </c>
      <c r="E168" s="131">
        <v>0.9490345446428563</v>
      </c>
      <c r="F168" s="131">
        <v>0.99763500877659794</v>
      </c>
    </row>
    <row r="169" spans="2:6" x14ac:dyDescent="0.25">
      <c r="B169" s="2" t="s">
        <v>165</v>
      </c>
      <c r="C169" s="141">
        <v>2.0449820624999973</v>
      </c>
      <c r="D169" s="131">
        <v>1.7872243154494356</v>
      </c>
      <c r="E169" s="131">
        <v>1.0749321696428638</v>
      </c>
      <c r="F169" s="131">
        <v>1.1451164337765931</v>
      </c>
    </row>
    <row r="170" spans="2:6" x14ac:dyDescent="0.25">
      <c r="B170" s="2" t="s">
        <v>166</v>
      </c>
      <c r="C170" s="141">
        <v>2.3929741874999877</v>
      </c>
      <c r="D170" s="131">
        <v>2.0333684654494419</v>
      </c>
      <c r="E170" s="131">
        <v>1.200829794642857</v>
      </c>
      <c r="F170" s="131">
        <v>1.2925978587765954</v>
      </c>
    </row>
    <row r="171" spans="2:6" x14ac:dyDescent="0.25">
      <c r="B171" s="2" t="s">
        <v>167</v>
      </c>
      <c r="C171" s="141">
        <v>2.7409663125000066</v>
      </c>
      <c r="D171" s="131">
        <v>2.2795126154494199</v>
      </c>
      <c r="E171" s="131">
        <v>1.3267274196428502</v>
      </c>
      <c r="F171" s="131">
        <v>1.4400792837765906</v>
      </c>
    </row>
    <row r="172" spans="2:6" x14ac:dyDescent="0.25">
      <c r="B172" s="2" t="s">
        <v>168</v>
      </c>
      <c r="C172" s="141">
        <v>3.088958437499997</v>
      </c>
      <c r="D172" s="131">
        <v>2.5256567654494546</v>
      </c>
      <c r="E172" s="131">
        <v>1.4526250446428648</v>
      </c>
      <c r="F172" s="131">
        <v>1.587560708776607</v>
      </c>
    </row>
    <row r="173" spans="2:6" x14ac:dyDescent="0.25">
      <c r="B173" s="2" t="s">
        <v>169</v>
      </c>
      <c r="C173" s="141">
        <v>3.4369505625000158</v>
      </c>
      <c r="D173" s="131">
        <v>2.7718009154494325</v>
      </c>
      <c r="E173" s="131">
        <v>1.5785226696428509</v>
      </c>
      <c r="F173" s="131">
        <v>1.735042133776588</v>
      </c>
    </row>
    <row r="174" spans="2:6" x14ac:dyDescent="0.25">
      <c r="B174" s="2" t="s">
        <v>170</v>
      </c>
      <c r="C174" s="141">
        <v>3.7849426874999779</v>
      </c>
      <c r="D174" s="131">
        <v>3.0179450654494246</v>
      </c>
      <c r="E174" s="131">
        <v>1.7044202946428584</v>
      </c>
      <c r="F174" s="131">
        <v>1.8825235587765974</v>
      </c>
    </row>
    <row r="176" spans="2:6" x14ac:dyDescent="0.25">
      <c r="B176" s="5" t="s">
        <v>299</v>
      </c>
    </row>
    <row r="178" spans="2:6" ht="23" x14ac:dyDescent="0.25">
      <c r="C178" s="150" t="s">
        <v>306</v>
      </c>
      <c r="D178" s="150" t="s">
        <v>307</v>
      </c>
      <c r="E178" s="150" t="s">
        <v>308</v>
      </c>
      <c r="F178" s="40" t="s">
        <v>158</v>
      </c>
    </row>
    <row r="179" spans="2:6" x14ac:dyDescent="0.25">
      <c r="B179" s="2" t="s">
        <v>284</v>
      </c>
      <c r="C179" s="2">
        <f>C69*0.05</f>
        <v>8.75</v>
      </c>
      <c r="D179" s="2">
        <f>C70*0.05</f>
        <v>7.75</v>
      </c>
      <c r="E179" s="2">
        <f>C71*0.05</f>
        <v>8.65</v>
      </c>
      <c r="F179" s="2">
        <f>C72*0.05</f>
        <v>6.8500000000000005</v>
      </c>
    </row>
    <row r="180" spans="2:6" x14ac:dyDescent="0.25">
      <c r="B180" s="146" t="s">
        <v>178</v>
      </c>
      <c r="C180" s="2">
        <f>D69*0.05</f>
        <v>9.0500000000000007</v>
      </c>
      <c r="D180" s="2">
        <f>D70*0.05</f>
        <v>7.95</v>
      </c>
      <c r="E180" s="2">
        <f>D71*0.05</f>
        <v>9.25</v>
      </c>
      <c r="F180" s="2">
        <f>D72*0.05</f>
        <v>6.65</v>
      </c>
    </row>
    <row r="181" spans="2:6" x14ac:dyDescent="0.25">
      <c r="B181" s="2" t="s">
        <v>70</v>
      </c>
      <c r="C181" s="2">
        <f>E69*0.05</f>
        <v>10.450000000000001</v>
      </c>
      <c r="D181" s="2">
        <f>E70*0.05</f>
        <v>8.6</v>
      </c>
      <c r="E181" s="2">
        <f>E71*0.05</f>
        <v>9.65</v>
      </c>
      <c r="F181" s="2">
        <f>E72*0.05</f>
        <v>7.0500000000000007</v>
      </c>
    </row>
    <row r="182" spans="2:6" x14ac:dyDescent="0.25">
      <c r="B182" s="2" t="s">
        <v>71</v>
      </c>
      <c r="C182" s="2">
        <f>F69*0.05</f>
        <v>11.05</v>
      </c>
      <c r="D182" s="2">
        <f>F70*0.05</f>
        <v>9.15</v>
      </c>
      <c r="E182" s="2">
        <f>F71*0.05</f>
        <v>9.8000000000000007</v>
      </c>
      <c r="F182" s="2">
        <f>F72*0.05</f>
        <v>7.3500000000000005</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Set Item Permission, based on rettighedsgruppe</Name>
    <Synchronization>Asynchronous</Synchronization>
    <Type>10001</Type>
    <SequenceNumber>1010</SequenceNumber>
    <Assembly>DAAS.WebInfo.Common, Version=1.0.0.0, Culture=neutral, PublicKeyToken=f192aeb827ef4bcc</Assembly>
    <Class>DAAS.WebInfo.Common.EventReceivers.RightsGroupItemEventReceiver</Class>
    <Data/>
    <Filter/>
  </Receiver>
  <Receiver>
    <Name>Set Item Permission, based on rettighedsgruppe</Name>
    <Synchronization>Asynchronous</Synchronization>
    <Type>10002</Type>
    <SequenceNumber>1010</SequenceNumber>
    <Assembly>DAAS.WebInfo.Common, Version=1.0.0.0, Culture=neutral, PublicKeyToken=f192aeb827ef4bcc</Assembly>
    <Class>DAAS.WebInfo.Common.EventReceivers.RightsGroupItemEventReceiver</Class>
    <Data/>
    <Filter/>
  </Receiver>
  <Receiver>
    <Name>WebInfo Content Page Event</Name>
    <Synchronization>Synchronous</Synchronization>
    <Type>1</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Synchronous</Synchronization>
    <Type>2</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Asynchronous</Synchronization>
    <Type>10002</Type>
    <SequenceNumber>1030</SequenceNumber>
    <Assembly>DAAS.WebInfo.Common, Version=1.0.0.0, Culture=neutral, PublicKeyToken=f192aeb827ef4bcc</Assembly>
    <Class>DAAS.WebInfo.Common.EventReceivers.WebInfoContentPageEventReceiver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076C34C50FA916488179B4B73A325077" ma:contentTypeVersion="101" ma:contentTypeDescription="Den primære contenttype der anvendes på Landbrugsinfo" ma:contentTypeScope="" ma:versionID="a2d425889b73dbd31e108222e8908ab5">
  <xsd:schema xmlns:xsd="http://www.w3.org/2001/XMLSchema" xmlns:xs="http://www.w3.org/2001/XMLSchema" xmlns:p="http://schemas.microsoft.com/office/2006/metadata/properties" xmlns:ns1="http://schemas.microsoft.com/sharepoint/v3" xmlns:ns2="3f8883b8-a613-49b8-9e7a-815b7776ebd6" xmlns:ns3="5aa14257-579e-4a1f-bbbb-3c8dd7393476" xmlns:ns4="303eeafb-7dff-46db-9396-e9c651f530ea" targetNamespace="http://schemas.microsoft.com/office/2006/metadata/properties" ma:root="true" ma:fieldsID="982af4ad0dcc1e8be629a4790d1db881" ns1:_="" ns2:_="" ns3:_="" ns4:_="">
    <xsd:import namespace="http://schemas.microsoft.com/sharepoint/v3"/>
    <xsd:import namespace="3f8883b8-a613-49b8-9e7a-815b7776ebd6"/>
    <xsd:import namespace="5aa14257-579e-4a1f-bbbb-3c8dd7393476"/>
    <xsd:import namespace="303eeafb-7dff-46db-9396-e9c651f530ea"/>
    <xsd:element name="properties">
      <xsd:complexType>
        <xsd:sequence>
          <xsd:element name="documentManagement">
            <xsd:complexType>
              <xsd:all>
                <xsd:element ref="ns1:Comments"/>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2: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2:WebInfoSubjects" minOccurs="0"/>
                <xsd:element ref="ns2:HitCount" minOccurs="0"/>
                <xsd:element ref="ns2:PermalinkID" minOccurs="0"/>
                <xsd:element ref="ns2:WebInfoMultiSelect" minOccurs="0"/>
                <xsd:element ref="ns4:_dlc_DocId" minOccurs="0"/>
                <xsd:element ref="ns4:_dlc_DocIdUrl" minOccurs="0"/>
                <xsd:element ref="ns4: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2:TaksonomiTaxHTField0" minOccurs="0"/>
                <xsd:element ref="ns4:TaxCatchAll" minOccurs="0"/>
                <xsd:element ref="ns4:TaxCatchAllLabel" minOccurs="0"/>
                <xsd:element ref="ns2:Bevillingsgivere" minOccurs="0"/>
                <xsd:element ref="ns2:FinanceYear" minOccurs="0"/>
                <xsd:element ref="ns2:WebInfoLawCodes" minOccurs="0"/>
                <xsd:element ref="ns2:Afrapportering" minOccurs="0"/>
                <xsd:element ref="ns3:Kontaktpersoner" minOccurs="0"/>
                <xsd:element ref="ns3:Skribenter" minOccurs="0"/>
                <xsd:element ref="ns2:Projec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ma:displayName="Beskrivelse" ma:internalName="Comments">
      <xsd:simpleType>
        <xsd:restriction base="dms:Note">
          <xsd:maxLength value="255"/>
        </xsd:restriction>
      </xsd:simpleType>
    </xsd:element>
    <xsd:element name="PublishingStartDate" ma:index="9" nillable="true" ma:displayName="Startdato for planlægning" ma:internalName="PublishingStartDate">
      <xsd:simpleType>
        <xsd:restriction base="dms:Unknown"/>
      </xsd:simpleType>
    </xsd:element>
    <xsd:element name="PublishingExpirationDate" ma:index="10" nillable="true" ma:displayName="Slutdato for planlægning"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internalName="PublishingVariationGroupID">
      <xsd:simpleType>
        <xsd:restriction base="dms:Text">
          <xsd:maxLength value="255"/>
        </xsd:restriction>
      </xsd:simpleType>
    </xsd:element>
    <xsd:element name="PublishingVariationRelationshipLinkFieldID" ma:index="17" nillable="true" ma:displayName="Relationshyperlink for variation"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internalName="HeaderStyleDefinitions">
      <xsd:simpleType>
        <xsd:restriction base="dms:Unknown"/>
      </xsd:simpleType>
    </xsd:element>
    <xsd:element name="DynamicPublishingContent0" ma:index="41" nillable="true" ma:displayName="Dynamisk sideindhold (1)" ma:hidden="true" ma:internalName="DynamicPublishingContent0">
      <xsd:simpleType>
        <xsd:restriction base="dms:Unknown"/>
      </xsd:simpleType>
    </xsd:element>
    <xsd:element name="DynamicPublishingContent1" ma:index="42" nillable="true" ma:displayName="Dynamisk sideindhold (2)" ma:hidden="true" ma:internalName="DynamicPublishingContent1">
      <xsd:simpleType>
        <xsd:restriction base="dms:Unknown"/>
      </xsd:simpleType>
    </xsd:element>
    <xsd:element name="DynamicPublishingContent2" ma:index="43" nillable="true" ma:displayName="Dynamisk sideindhold (3)" ma:hidden="true" ma:internalName="DynamicPublishingContent2">
      <xsd:simpleType>
        <xsd:restriction base="dms:Unknown"/>
      </xsd:simpleType>
    </xsd:element>
    <xsd:element name="DynamicPublishingContent3" ma:index="44" nillable="true" ma:displayName="Dynamisk sideindhold (4)" ma:hidden="true" ma:internalName="DynamicPublishingContent3">
      <xsd:simpleType>
        <xsd:restriction base="dms:Unknown"/>
      </xsd:simpleType>
    </xsd:element>
    <xsd:element name="DynamicPublishingContent4" ma:index="45" nillable="true" ma:displayName="Dynamisk sideindhold (5)" ma:hidden="true" ma:internalName="DynamicPublishingContent4">
      <xsd:simpleType>
        <xsd:restriction base="dms:Unknown"/>
      </xsd:simpleType>
    </xsd:element>
    <xsd:element name="DynamicPublishingContent5" ma:index="46" nillable="true" ma:displayName="Dynamisk sideindhold (6)" ma:hidden="true" ma:internalName="DynamicPublishingContent5">
      <xsd:simpleType>
        <xsd:restriction base="dms:Unknown"/>
      </xsd:simpleType>
    </xsd:element>
    <xsd:element name="DynamicPublishingContent6" ma:index="59" nillable="true" ma:displayName="Dynamisk sideindhold (7)" ma:hidden="true" ma:internalName="DynamicPublishingContent6">
      <xsd:simpleType>
        <xsd:restriction base="dms:Unknown"/>
      </xsd:simpleType>
    </xsd:element>
    <xsd:element name="DynamicPublishingContent7" ma:index="60" nillable="true" ma:displayName="Dynamisk sideindhold (8)" ma:hidden="true" ma:internalName="DynamicPublishingContent7">
      <xsd:simpleType>
        <xsd:restriction base="dms:Unknown"/>
      </xsd:simpleType>
    </xsd:element>
    <xsd:element name="DynamicPublishingContent8" ma:index="61" nillable="true" ma:displayName="Dynamisk sideindhold (9)" ma:hidden="true" ma:internalName="DynamicPublishingContent8">
      <xsd:simpleType>
        <xsd:restriction base="dms:Unknown"/>
      </xsd:simpleType>
    </xsd:element>
    <xsd:element name="DynamicPublishingContent9" ma:index="62" nillable="true" ma:displayName="Dynamisk sideindhold (10)" ma:hidden="true" ma:internalName="DynamicPublishingContent9">
      <xsd:simpleType>
        <xsd:restriction base="dms:Unknown"/>
      </xsd:simpleType>
    </xsd:element>
    <xsd:element name="DynamicPublishingContent10" ma:index="63" nillable="true" ma:displayName="Dynamisk sideindhold (11)" ma:hidden="true" ma:internalName="DynamicPublishingContent10">
      <xsd:simpleType>
        <xsd:restriction base="dms:Unknown"/>
      </xsd:simpleType>
    </xsd:element>
    <xsd:element name="DynamicPublishingContent11" ma:index="64" nillable="true" ma:displayName="Dynamisk sideindhold (12)" ma:hidden="true" ma:internalName="DynamicPublishingContent11">
      <xsd:simpleType>
        <xsd:restriction base="dms:Unknown"/>
      </xsd:simpleType>
    </xsd:element>
    <xsd:element name="DynamicPublishingContent12" ma:index="65" nillable="true" ma:displayName="Dynamisk sideindhold (13)" ma:hidden="true" ma:internalName="DynamicPublishingContent12">
      <xsd:simpleType>
        <xsd:restriction base="dms:Unknown"/>
      </xsd:simpleType>
    </xsd:element>
    <xsd:element name="DynamicPublishingContent13" ma:index="66" nillable="true" ma:displayName="Dynamisk sideindhold (14)" ma:hidden="true" ma:internalName="DynamicPublishingContent13">
      <xsd:simpleType>
        <xsd:restriction base="dms:Unknown"/>
      </xsd:simpleType>
    </xsd:element>
    <xsd:element name="DynamicPublishingContent14" ma:index="67"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8883b8-a613-49b8-9e7a-815b7776ebd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Arkiveringsdato" ma:index="37" ma:displayName="Arkiveringsdato" ma:format="DateOnly" ma:internalName="Arkiveringsdato">
      <xsd:simpleType>
        <xsd:restriction base="dms:DateTime"/>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element name="Projekter" ma:index="51" nillable="true" ma:displayName="Projekter" ma:list="{ecf07d35-95fb-4bda-ad72-e46544058ec2}" ma:internalName="Projekter" ma:showField="LinkTitleNoMenu" ma:web="303eeafb-7dff-46db-9396-e9c651f530ea">
      <xsd:simpleType>
        <xsd:restriction base="dms:Unknown"/>
      </xsd:simpleType>
    </xsd:element>
    <xsd:element name="WebInfoSubjects" ma:index="52"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3" nillable="true" ma:displayName="HitCount (system)" ma:decimals="0" ma:default="0" ma:description="Antal gange et dokument er set af en bruger" ma:internalName="HitCount" ma:readOnly="false">
      <xsd:simpleType>
        <xsd:restriction base="dms:Number"/>
      </xsd:simpleType>
    </xsd:element>
    <xsd:element name="PermalinkID" ma:index="54"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55" nillable="true" ma:displayName="Tilvalg" ma:description="Mulighed for et antal tilvalg gemt i et samlet felt." ma:internalName="WebInfoMultiSelect">
      <xsd:simpleType>
        <xsd:restriction base="dms:Unknown"/>
      </xsd:simpleType>
    </xsd:element>
    <xsd:element name="TaksonomiTaxHTField0" ma:index="68"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2"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3" nillable="true" ma:displayName="Bevillingsår" ma:decimals="0" ma:internalName="FinanceYear">
      <xsd:simpleType>
        <xsd:restriction base="dms:Number"/>
      </xsd:simpleType>
    </xsd:element>
    <xsd:element name="WebInfoLawCodes" ma:index="74"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5" nillable="true" ma:displayName="Afrapportering" ma:list="{126d356a-4f5c-4bbb-91a6-e07af1934e19}" ma:internalName="Afrapportering" ma:showField="LinkTitleNoMenu" ma:web="303eeafb-7dff-46db-9396-e9c651f530ea">
      <xsd:simpleType>
        <xsd:restriction base="dms:Unknown"/>
      </xsd:simpleType>
    </xsd:element>
    <xsd:element name="ProjectID" ma:index="78" nillable="true" ma:displayName="ProjectID (system)" ma:internalName="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element name="Kontaktpersoner" ma:index="76" nillable="true" ma:displayName="Kontaktpersoner" ma:list="UserInfo" ma:SharePointGroup="0" ma:internalName="Kontaktperson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kribenter" ma:index="77" nillable="true" ma:displayName="Skribenter" ma:list="UserInfo" ma:SharePointGroup="0" ma:internalName="Skribent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6" nillable="true" ma:displayName="Værdi for dokument-id" ma:description="Værdien af det dokument-id, der er tildelt dette element." ma:internalName="_dlc_DocId" ma:readOnly="true">
      <xsd:simpleType>
        <xsd:restriction base="dms:Text"/>
      </xsd:simpleType>
    </xsd:element>
    <xsd:element name="_dlc_DocIdUrl" ma:index="57"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element name="TaxCatchAll" ma:index="69" nillable="true" ma:displayName="Taxonomy Catch All Column" ma:descriptio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0" nillable="true" ma:displayName="Taxonomy Catch All Column1" ma:description=""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ynamicPublishingContent11 xmlns="http://schemas.microsoft.com/sharepoint/v3" xsi:nil="true"/>
    <DynamicPublishingContent14 xmlns="http://schemas.microsoft.com/sharepoint/v3" xsi:nil="true"/>
    <TaksonomiTaxHTField0 xmlns="3f8883b8-a613-49b8-9e7a-815b7776ebd6">
      <Terms xmlns="http://schemas.microsoft.com/office/infopath/2007/PartnerControls"/>
    </TaksonomiTaxHTField0>
    <FinanceYear xmlns="3f8883b8-a613-49b8-9e7a-815b7776ebd6" xsi:nil="true"/>
    <Ansvarligafdeling xmlns="3f8883b8-a613-49b8-9e7a-815b7776ebd6">55</Ansvarligafdeling>
    <NetSkabelonValue xmlns="3f8883b8-a613-49b8-9e7a-815b7776ebd6" xsi:nil="true"/>
    <HitCount xmlns="3f8883b8-a613-49b8-9e7a-815b7776ebd6">0</HitCount>
    <WebInfoMultiSelect xmlns="3f8883b8-a613-49b8-9e7a-815b7776ebd6" xsi:nil="true"/>
    <GammelURL xmlns="3f8883b8-a613-49b8-9e7a-815b7776ebd6" xsi:nil="true"/>
    <PublishingRollupImage xmlns="http://schemas.microsoft.com/sharepoint/v3" xsi:nil="true"/>
    <Revisionsdato xmlns="5aa14257-579e-4a1f-bbbb-3c8dd7393476">2021-01-08T07:23:00+00:00</Revisionsdato>
    <DynamicPublishingContent5 xmlns="http://schemas.microsoft.com/sharepoint/v3" xsi:nil="true"/>
    <DynamicPublishingContent12 xmlns="http://schemas.microsoft.com/sharepoint/v3" xsi:nil="true"/>
    <PublishingContactEmail xmlns="http://schemas.microsoft.com/sharepoint/v3" xsi:nil="true"/>
    <HeaderStyleDefinitions xmlns="http://schemas.microsoft.com/sharepoint/v3" xsi:nil="true"/>
    <Rettighedsgruppe xmlns="3f8883b8-a613-49b8-9e7a-815b7776ebd6">1</Rettighedsgruppe>
    <Afsender xmlns="3f8883b8-a613-49b8-9e7a-815b7776ebd6">2</Afsender>
    <DynamicPublishingContent4 xmlns="http://schemas.microsoft.com/sharepoint/v3" xsi:nil="true"/>
    <Skribenter xmlns="5aa14257-579e-4a1f-bbbb-3c8dd7393476">
      <UserInfo>
        <DisplayName/>
        <AccountId xsi:nil="true"/>
        <AccountType/>
      </UserInfo>
    </Skribenter>
    <PublishingVariationRelationshipLinkFieldID xmlns="http://schemas.microsoft.com/sharepoint/v3">
      <Url xsi:nil="true"/>
      <Description xsi:nil="true"/>
    </PublishingVariationRelationshipLinkFieldID>
    <PublishingPageContent xmlns="http://schemas.microsoft.com/sharepoint/v3" xsi:nil="true"/>
    <IsHiddenFromRollup xmlns="3f8883b8-a613-49b8-9e7a-815b7776ebd6">0</IsHiddenFromRollup>
    <DynamicPublishingContent7 xmlns="http://schemas.microsoft.com/sharepoint/v3" xsi:nil="true"/>
    <DynamicPublishingContent6 xmlns="http://schemas.microsoft.com/sharepoint/v3" xsi:nil="true"/>
    <Bekraeftelsesdato xmlns="5aa14257-579e-4a1f-bbbb-3c8dd7393476">2021-01-08T07:23:00+00:00</Bekraeftelsesdato>
    <DynamicPublishingContent1 xmlns="http://schemas.microsoft.com/sharepoint/v3" xsi:nil="true"/>
    <Projekter xmlns="3f8883b8-a613-49b8-9e7a-815b7776ebd6" xsi:nil="true"/>
    <DynamicPublishingContent13 xmlns="http://schemas.microsoft.com/sharepoint/v3" xsi:nil="true"/>
    <PublishingVariationGroupID xmlns="http://schemas.microsoft.com/sharepoint/v3" xsi:nil="true"/>
    <ArticleStartDate xmlns="http://schemas.microsoft.com/sharepoint/v3">2021-01-08T07:24:24+00:00</ArticleStartDate>
    <Listekode xmlns="5aa14257-579e-4a1f-bbbb-3c8dd7393476" xsi:nil="true"/>
    <Arkiveringsdato xmlns="3f8883b8-a613-49b8-9e7a-815b7776ebd6">2099-12-31T23:00:00+00:00</Arkiveringsdato>
    <HideInRollups xmlns="3f8883b8-a613-49b8-9e7a-815b7776ebd6">false</HideInRollups>
    <DynamicPublishingContent0 xmlns="http://schemas.microsoft.com/sharepoint/v3" xsi:nil="true"/>
    <PermalinkID xmlns="3f8883b8-a613-49b8-9e7a-815b7776ebd6">c4b53a91-a839-4af2-960d-70b3670c100b</PermalinkID>
    <ArticleByLine xmlns="http://schemas.microsoft.com/sharepoint/v3" xsi:nil="true"/>
    <PublishingImageCaption xmlns="http://schemas.microsoft.com/sharepoint/v3" xsi:nil="true"/>
    <Forfattere xmlns="5aa14257-579e-4a1f-bbbb-3c8dd7393476">
      <UserInfo>
        <DisplayName>i:0e.t|dlbr idp|lcskh@prod.dli</DisplayName>
        <AccountId>15383</AccountId>
        <AccountType/>
      </UserInfo>
    </Forfattere>
    <DynamicPublishingContent3 xmlns="http://schemas.microsoft.com/sharepoint/v3" xsi:nil="true"/>
    <Sorteringsorden xmlns="5aa14257-579e-4a1f-bbbb-3c8dd7393476" xsi:nil="true"/>
    <EnclosureFor xmlns="3f8883b8-a613-49b8-9e7a-815b7776ebd6">
      <Url xsi:nil="true"/>
      <Description xsi:nil="true"/>
    </EnclosureFor>
    <Audience xmlns="http://schemas.microsoft.com/sharepoint/v3" xsi:nil="true"/>
    <PublishingPageImage xmlns="http://schemas.microsoft.com/sharepoint/v3" xsi:nil="true"/>
    <DynamicPublishingContent2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Ingen_x0020_besked_x0020_ved_x0020_arkivering xmlns="3f8883b8-a613-49b8-9e7a-815b7776ebd6">false</Ingen_x0020_besked_x0020_ved_x0020_arkivering>
    <Bevillingsgivere xmlns="3f8883b8-a613-49b8-9e7a-815b7776ebd6" xsi:nil="true"/>
    <WebInfoLawCodes xmlns="3f8883b8-a613-49b8-9e7a-815b7776ebd6" xsi:nil="true"/>
    <PublishingContactPicture xmlns="http://schemas.microsoft.com/sharepoint/v3">
      <Url xsi:nil="true"/>
      <Description xsi:nil="true"/>
    </PublishingContactPicture>
    <Informationsserie xmlns="5aa14257-579e-4a1f-bbbb-3c8dd7393476" xsi:nil="true"/>
    <ProjectID xmlns="3f8883b8-a613-49b8-9e7a-815b7776ebd6">X1170X</ProjectID>
    <PublishingStartDate xmlns="http://schemas.microsoft.com/sharepoint/v3" xsi:nil="true"/>
    <WebInfoSubjects xmlns="3f8883b8-a613-49b8-9e7a-815b7776ebd6" xsi:nil="true"/>
    <Kontaktpersoner xmlns="5aa14257-579e-4a1f-bbbb-3c8dd7393476">
      <UserInfo>
        <DisplayName/>
        <AccountId xsi:nil="true"/>
        <AccountType/>
      </UserInfo>
    </Kontaktpersoner>
    <DynamicPublishingContent9 xmlns="http://schemas.microsoft.com/sharepoint/v3" xsi:nil="true"/>
    <DynamicPublishingContent10 xmlns="http://schemas.microsoft.com/sharepoint/v3" xsi:nil="true"/>
    <Afrapportering xmlns="3f8883b8-a613-49b8-9e7a-815b7776ebd6">1170;#Målrettet vandmiljøindsats</Afrapportering>
    <PublishingContact xmlns="http://schemas.microsoft.com/sharepoint/v3">
      <UserInfo>
        <DisplayName/>
        <AccountId xsi:nil="true"/>
        <AccountType/>
      </UserInfo>
    </PublishingContact>
    <PublishingContactName xmlns="http://schemas.microsoft.com/sharepoint/v3" xsi:nil="true"/>
    <Noegleord xmlns="5aa14257-579e-4a1f-bbbb-3c8dd7393476" xsi:nil="true"/>
    <DynamicPublishingContent8 xmlns="http://schemas.microsoft.com/sharepoint/v3" xsi:nil="true"/>
    <TaxCatchAll xmlns="303eeafb-7dff-46db-9396-e9c651f530ea"/>
    <Comments xmlns="http://schemas.microsoft.com/sharepoint/v3">Der er udarbejdet et værktøj til beregning af omkostninger ved kvælstofregulering på bedriftsniveau. Der kan både regnes på nuværende indsatskrav og eventuelle øgede fremtidige krav. Der kan anvendes bedriftsspecifikke forudsætninger for alle virkemidler.</Comments>
    <Nummer xmlns="5aa14257-579e-4a1f-bbbb-3c8dd7393476" xsi:nil="true"/>
    <_dlc_DocId xmlns="303eeafb-7dff-46db-9396-e9c651f530ea">LBINFO-1714791964-26695</_dlc_DocId>
    <_dlc_DocIdUrl xmlns="303eeafb-7dff-46db-9396-e9c651f530ea">
      <Url>https://sp.landbrugsinfo.dk/Afrapportering/innovation/2020/_layouts/DocIdRedir.aspx?ID=LBINFO-1714791964-26695</Url>
      <Description>LBINFO-1714791964-26695</Description>
    </_dlc_DocIdUrl>
  </documentManagement>
</p:properties>
</file>

<file path=customXml/itemProps1.xml><?xml version="1.0" encoding="utf-8"?>
<ds:datastoreItem xmlns:ds="http://schemas.openxmlformats.org/officeDocument/2006/customXml" ds:itemID="{64D590EC-74F3-431C-AF16-6A0C3B336A76}"/>
</file>

<file path=customXml/itemProps2.xml><?xml version="1.0" encoding="utf-8"?>
<ds:datastoreItem xmlns:ds="http://schemas.openxmlformats.org/officeDocument/2006/customXml" ds:itemID="{4302B08F-1787-4C3A-ACF5-4AFA0D5379D9}"/>
</file>

<file path=customXml/itemProps3.xml><?xml version="1.0" encoding="utf-8"?>
<ds:datastoreItem xmlns:ds="http://schemas.openxmlformats.org/officeDocument/2006/customXml" ds:itemID="{545BF9FE-E879-4EC1-AF26-E91A71EF5D94}"/>
</file>

<file path=customXml/itemProps4.xml><?xml version="1.0" encoding="utf-8"?>
<ds:datastoreItem xmlns:ds="http://schemas.openxmlformats.org/officeDocument/2006/customXml" ds:itemID="{A242B0AE-A75D-44ED-865D-717F820A866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10</vt:i4>
      </vt:variant>
      <vt:variant>
        <vt:lpstr>Navngivne områder</vt:lpstr>
      </vt:variant>
      <vt:variant>
        <vt:i4>17</vt:i4>
      </vt:variant>
    </vt:vector>
  </HeadingPairs>
  <TitlesOfParts>
    <vt:vector size="27" baseType="lpstr">
      <vt:lpstr>1 Opsamling</vt:lpstr>
      <vt:lpstr>2 Praksis</vt:lpstr>
      <vt:lpstr>3 Scenarier</vt:lpstr>
      <vt:lpstr>4 Efterafgrøder</vt:lpstr>
      <vt:lpstr>5 Mellemafgrøder</vt:lpstr>
      <vt:lpstr>6 Tidlig såning</vt:lpstr>
      <vt:lpstr>7 Brak v vandløb</vt:lpstr>
      <vt:lpstr>8 Brak</vt:lpstr>
      <vt:lpstr>9 Kvotereduktion</vt:lpstr>
      <vt:lpstr>Ark1</vt:lpstr>
      <vt:lpstr>BygEgen</vt:lpstr>
      <vt:lpstr>BygStand</vt:lpstr>
      <vt:lpstr>HvedeEgen</vt:lpstr>
      <vt:lpstr>HvedeStand</vt:lpstr>
      <vt:lpstr>JaNej</vt:lpstr>
      <vt:lpstr>Kornkøb</vt:lpstr>
      <vt:lpstr>Ledig</vt:lpstr>
      <vt:lpstr>NEgen</vt:lpstr>
      <vt:lpstr>NStand</vt:lpstr>
      <vt:lpstr>OrgGodn</vt:lpstr>
      <vt:lpstr>ProtEgen</vt:lpstr>
      <vt:lpstr>Protkorn</vt:lpstr>
      <vt:lpstr>ProtStand</vt:lpstr>
      <vt:lpstr>RapsEgen</vt:lpstr>
      <vt:lpstr>RapsStand</vt:lpstr>
      <vt:lpstr>RugEgen</vt:lpstr>
      <vt:lpstr>RugStand</vt:lpstr>
    </vt:vector>
  </TitlesOfParts>
  <Company>Landbrug &amp; Fødevarer - Plante- &amp; MiljøInnovation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AP3: Analyseværktøj - beregning af omkostninger ved kvælstofregulering</dc:title>
  <dc:creator>Søren Kolind Hvid</dc:creator>
  <cp:lastModifiedBy>Britt Heftholm</cp:lastModifiedBy>
  <dcterms:created xsi:type="dcterms:W3CDTF">2020-11-08T08:49:48Z</dcterms:created>
  <dcterms:modified xsi:type="dcterms:W3CDTF">2021-01-08T07:14:04Z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0x010100C568DB52D9D0A14D9B2FDCC96666E9F2007948130EC3DB064584E219954237AF3900242457EFB8B24247815D688C526CD44D00C26A9DBCB02B5C4DA1F017B836C045C00060750ADE2E6249BABB5C6118FC133DE800B6E1A9893ABA4670B08C14B9C53A30D300076C34C50FA916488179B4B73A325077</vt:lpwstr>
  </property>
  <property fmtid="{D5CDD505-2E9C-101B-9397-08002B2CF9AE}" pid="3" name="_dlc_DocIdItemGuid">
    <vt:lpwstr>266db9f6-ddb4-4c36-8cea-6580cd96034a</vt:lpwstr>
  </property>
  <property fmtid="{D5CDD505-2E9C-101B-9397-08002B2CF9AE}" pid="4" name="Taksonomi">
    <vt:lpwstr/>
  </property>
</Properties>
</file>